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075" tabRatio="929" activeTab="1"/>
  </bookViews>
  <sheets>
    <sheet name="НАЧАЛО" sheetId="1" r:id="rId1"/>
    <sheet name="Разходи" sheetId="2" r:id="rId2"/>
    <sheet name="РБА" sheetId="3" r:id="rId3"/>
    <sheet name="НВ" sheetId="4" r:id="rId4"/>
    <sheet name="ТИП-ПРОИЗ" sheetId="5" r:id="rId5"/>
    <sheet name="ТИП-ПРЕНОС" sheetId="6" r:id="rId6"/>
    <sheet name="Коефициенти" sheetId="7" r:id="rId7"/>
    <sheet name="ИКП" sheetId="8" r:id="rId8"/>
    <sheet name="ВК§ППК" sheetId="9" r:id="rId9"/>
    <sheet name="Спецификация" sheetId="10" r:id="rId10"/>
  </sheets>
  <externalReferences>
    <externalReference r:id="rId13"/>
    <externalReference r:id="rId14"/>
  </externalReferences>
  <definedNames>
    <definedName name="_xlfn.SUMIFS" hidden="1">#NAME?</definedName>
    <definedName name="_xlnm.Print_Area" localSheetId="8">'ВК§ППК'!$A$1:$L$41</definedName>
    <definedName name="_xlnm.Print_Area" localSheetId="7">'ИКП'!$A$1:$K$79</definedName>
    <definedName name="_xlnm.Print_Area" localSheetId="6">'Коефициенти'!$A$1:$F$53</definedName>
    <definedName name="_xlnm.Print_Area" localSheetId="3">'НВ'!$A$1:$G$56</definedName>
    <definedName name="_xlnm.Print_Area" localSheetId="1">'Разходи'!$A$1:$I$93</definedName>
    <definedName name="_xlnm.Print_Area" localSheetId="2">'РБА'!$A$1:$I$81</definedName>
    <definedName name="_xlnm.Print_Area" localSheetId="9">'Спецификация'!$A$1:$P$52</definedName>
    <definedName name="_xlnm.Print_Area" localSheetId="5">'ТИП-ПРЕНОС'!$A$1:$E$70</definedName>
    <definedName name="_xlnm.Print_Area" localSheetId="4">'ТИП-ПРОИЗ'!$A$1:$F$183</definedName>
    <definedName name="_xlnm.Print_Titles" localSheetId="9">'Спецификация'!$4:$5</definedName>
    <definedName name="_xlnm.Print_Titles" localSheetId="4">'ТИП-ПРОИЗ'!$1:$7</definedName>
    <definedName name="а65536">'НВ'!$A:$XFD</definedName>
    <definedName name="ь65536">'ВК§ППК'!$105:$105</definedName>
  </definedNames>
  <calcPr fullCalcOnLoad="1"/>
</workbook>
</file>

<file path=xl/sharedStrings.xml><?xml version="1.0" encoding="utf-8"?>
<sst xmlns="http://schemas.openxmlformats.org/spreadsheetml/2006/main" count="1493" uniqueCount="769">
  <si>
    <t>№</t>
  </si>
  <si>
    <t>НАИМЕНОВАНИЕ НА РАЗХОДА</t>
  </si>
  <si>
    <t>МЯРКА</t>
  </si>
  <si>
    <t>хил. лв</t>
  </si>
  <si>
    <t>Разходи за амортизации</t>
  </si>
  <si>
    <t>Дълготрайни материални активи-ДМА</t>
  </si>
  <si>
    <t>Оборотен капитал-ОК</t>
  </si>
  <si>
    <t>%</t>
  </si>
  <si>
    <t>ПРОМЕНЛИВИ РАЗХОДИ</t>
  </si>
  <si>
    <t>природен газ</t>
  </si>
  <si>
    <t>мазут</t>
  </si>
  <si>
    <t>въглища</t>
  </si>
  <si>
    <t>газьол</t>
  </si>
  <si>
    <t>Разходи за вода</t>
  </si>
  <si>
    <t>ДИМЕНСИЯ</t>
  </si>
  <si>
    <t>Е бр</t>
  </si>
  <si>
    <t>Е сн</t>
  </si>
  <si>
    <t>Е сн (ел)</t>
  </si>
  <si>
    <t>Е сн(т)</t>
  </si>
  <si>
    <t>Е нето</t>
  </si>
  <si>
    <t>гореща вода</t>
  </si>
  <si>
    <t>Впг</t>
  </si>
  <si>
    <t>Вм</t>
  </si>
  <si>
    <t>t</t>
  </si>
  <si>
    <t>Вг</t>
  </si>
  <si>
    <t>Вв</t>
  </si>
  <si>
    <t>Qпг</t>
  </si>
  <si>
    <t>Qм</t>
  </si>
  <si>
    <t>kcal/kg</t>
  </si>
  <si>
    <t>Qг</t>
  </si>
  <si>
    <t>Qв</t>
  </si>
  <si>
    <t>Цпг</t>
  </si>
  <si>
    <t>Цм</t>
  </si>
  <si>
    <t>Цг</t>
  </si>
  <si>
    <t>Цв</t>
  </si>
  <si>
    <t>g/kWh</t>
  </si>
  <si>
    <t xml:space="preserve">Коефициент на загубите на топлина </t>
  </si>
  <si>
    <t>№ по ред</t>
  </si>
  <si>
    <t>Отпусната топлина към преноса с гореща вода</t>
  </si>
  <si>
    <t>ВЪЗВРЪЩАЕМОСТ НА КАПИТАЛА</t>
  </si>
  <si>
    <t>Проверка</t>
  </si>
  <si>
    <t>Мярка</t>
  </si>
  <si>
    <t>ОЗНАЧЕНИЕ</t>
  </si>
  <si>
    <t>Произведена прегрята пара от парогенераторите</t>
  </si>
  <si>
    <t>Dпп</t>
  </si>
  <si>
    <t>Енталпия на прегрята пара</t>
  </si>
  <si>
    <t>kJ/kg</t>
  </si>
  <si>
    <t xml:space="preserve">Разход на питателната вода </t>
  </si>
  <si>
    <t>Dпв</t>
  </si>
  <si>
    <t>Средна температура на питателна вода</t>
  </si>
  <si>
    <t>tпв</t>
  </si>
  <si>
    <t>°С</t>
  </si>
  <si>
    <t>Енталпия на питателна вода</t>
  </si>
  <si>
    <t>hпв</t>
  </si>
  <si>
    <t>Разход на пара на изхода от РОУ</t>
  </si>
  <si>
    <t>Dроу</t>
  </si>
  <si>
    <t>Енталпия на пара на изхода от РОУ</t>
  </si>
  <si>
    <t>Разход на пара от промишлен парен котел</t>
  </si>
  <si>
    <t>Dпр.к</t>
  </si>
  <si>
    <t>Енталпия на пара от промишлен парен котел</t>
  </si>
  <si>
    <t>Разход на върнат кондензат от консуматорите</t>
  </si>
  <si>
    <t>Gвр.к</t>
  </si>
  <si>
    <t>Енталпия на върнат кондензат от консуматорите</t>
  </si>
  <si>
    <t>Gдв</t>
  </si>
  <si>
    <t>Енталпия на добавъчната вода</t>
  </si>
  <si>
    <t>Общ разход на мрежова вода в централата</t>
  </si>
  <si>
    <t>Gмр.в</t>
  </si>
  <si>
    <t>Общ разход на добавъчна вода към топлопр. мрежа</t>
  </si>
  <si>
    <t>Отпусната топлина с добавъчната вода (подпитката)</t>
  </si>
  <si>
    <t>ТЕ</t>
  </si>
  <si>
    <t>MWh</t>
  </si>
  <si>
    <t>Описание</t>
  </si>
  <si>
    <t>Собствен капитал</t>
  </si>
  <si>
    <t>хил. лв.</t>
  </si>
  <si>
    <t>Норма на възвръщаемост на собствения капитал</t>
  </si>
  <si>
    <t>Средно претеглена норма на възвръщаемост на привлечения капитал</t>
  </si>
  <si>
    <t>Данъчни задължения</t>
  </si>
  <si>
    <t>НОРМА НА ВЪЗВРЪЩАЕМОСТ</t>
  </si>
  <si>
    <t>КУПЕНА Електрическа енергия</t>
  </si>
  <si>
    <t>9 = 7 + 8</t>
  </si>
  <si>
    <t>6 = 4 + 5</t>
  </si>
  <si>
    <t>Dппо</t>
  </si>
  <si>
    <t>Количество на добавъчната вода (Обезсолена вода)</t>
  </si>
  <si>
    <t>1.1</t>
  </si>
  <si>
    <t>1.2</t>
  </si>
  <si>
    <t>ПРЕНОС</t>
  </si>
  <si>
    <t>-</t>
  </si>
  <si>
    <t>Цпр гв</t>
  </si>
  <si>
    <t>Приходи от присъединяване и услуги</t>
  </si>
  <si>
    <t xml:space="preserve"> - договори за финансов лизинг</t>
  </si>
  <si>
    <t xml:space="preserve"> - кредити</t>
  </si>
  <si>
    <t xml:space="preserve">Привлечен капитал, в т. ч. </t>
  </si>
  <si>
    <t>Дял на собствения капитал</t>
  </si>
  <si>
    <t>Дял на привлечения капитал</t>
  </si>
  <si>
    <t>хил.лв.</t>
  </si>
  <si>
    <t>Разходи, свързани с нерегулирана дейност</t>
  </si>
  <si>
    <t>хил.лв</t>
  </si>
  <si>
    <t>Призната мощност</t>
  </si>
  <si>
    <t>Забележка:</t>
  </si>
  <si>
    <t>Приходи от топлоносител</t>
  </si>
  <si>
    <t>Разходи за външни услуги</t>
  </si>
  <si>
    <t>1.3</t>
  </si>
  <si>
    <t>1.4</t>
  </si>
  <si>
    <t>ІІІ</t>
  </si>
  <si>
    <t>Горива за автотранспорт</t>
  </si>
  <si>
    <t>Работно облекло</t>
  </si>
  <si>
    <t>Канцеларски материали</t>
  </si>
  <si>
    <t>Материали за текущо поддържане</t>
  </si>
  <si>
    <t>Застраховки</t>
  </si>
  <si>
    <t>Данъци и такси</t>
  </si>
  <si>
    <t>Пощенски разходи, телефони и абонаменти</t>
  </si>
  <si>
    <t>Абонаментно поддържане</t>
  </si>
  <si>
    <t>Въоръжена и противопожарна охрана</t>
  </si>
  <si>
    <t>Наеми</t>
  </si>
  <si>
    <t>Проверка на уреди</t>
  </si>
  <si>
    <t>Съдебни разходи</t>
  </si>
  <si>
    <t>Експертни и одиторски разходи</t>
  </si>
  <si>
    <t>Такса събрано инкасо</t>
  </si>
  <si>
    <t>Вода, отопление и осветление</t>
  </si>
  <si>
    <t>Разходи за заплати и възнаграждения</t>
  </si>
  <si>
    <t>Безплатна предпазна храна съгласно нормативен акт</t>
  </si>
  <si>
    <t>Охрана на труда</t>
  </si>
  <si>
    <t>Служебни карти и пътувания</t>
  </si>
  <si>
    <t>Командировки</t>
  </si>
  <si>
    <t>Услуги  граждански договори</t>
  </si>
  <si>
    <t>Разходи за публикации</t>
  </si>
  <si>
    <t>Изпитания на съоръженията</t>
  </si>
  <si>
    <t>общи за двата продукта</t>
  </si>
  <si>
    <t>ЗАБЕЛЕЖКА:</t>
  </si>
  <si>
    <t>1. В УПР не се включват разходи, свързани с нерегулирана дейност.</t>
  </si>
  <si>
    <t>2. От УПР се изваждат приходите от присъединяване, услуги и топлоносител.</t>
  </si>
  <si>
    <t>Консумативи (химикали, реагенти)</t>
  </si>
  <si>
    <t>ПОЗИЦИЯ</t>
  </si>
  <si>
    <t>І</t>
  </si>
  <si>
    <t xml:space="preserve">1. </t>
  </si>
  <si>
    <t>Земи</t>
  </si>
  <si>
    <t>Сгради</t>
  </si>
  <si>
    <t>Машини, съоръжения и оборудване</t>
  </si>
  <si>
    <t>Транспортни средства</t>
  </si>
  <si>
    <t>Стопански инвентар</t>
  </si>
  <si>
    <t>Други дълготрайни материални активи</t>
  </si>
  <si>
    <t>ДМА- участвуващи в регулирането</t>
  </si>
  <si>
    <t>2.</t>
  </si>
  <si>
    <t>ІІ</t>
  </si>
  <si>
    <t>ІV</t>
  </si>
  <si>
    <t>V</t>
  </si>
  <si>
    <t>РЕГУЛАТОРНА БАЗА НА АКТИВИТЕ- РБА</t>
  </si>
  <si>
    <t>ОБОРОТЕН КАПИТАЛ-ОК</t>
  </si>
  <si>
    <t>Амортизация за периода на използване-АМ</t>
  </si>
  <si>
    <t>ПРИЗНАТА СТОЙНОСТ НА ДЪЛГОТРАЙНИТЕ АКТИВИ, ПРЯКО СВЪРЗАНИ С ДЕЙНОСТТА ПО ЛИЦЕНЗИЯТА, в т.ч :</t>
  </si>
  <si>
    <t>АКТИВИ-А</t>
  </si>
  <si>
    <t xml:space="preserve">НЕОБХОДИМИ ГОДИШНИ ПРИХОДИ </t>
  </si>
  <si>
    <t>ОБЩО</t>
  </si>
  <si>
    <t>Финансирания за дълготрайни активи-Ф</t>
  </si>
  <si>
    <t>електрическа енергия</t>
  </si>
  <si>
    <t>топлинна енергия</t>
  </si>
  <si>
    <t>НОРМА НА ВЪЗВРЪЩАЕМОСТ НА КАПИТАЛА</t>
  </si>
  <si>
    <t>Приходи от електрическа енергия</t>
  </si>
  <si>
    <t>Необходими годишни приходи за топлинна енергия</t>
  </si>
  <si>
    <t>Цпр,т</t>
  </si>
  <si>
    <t>ТЕХНИЧЕСКИ, ИКОНОМИЧЕСКИ И НАТУРАЛНИ ПОКАЗАТЕЛИ ПОКАЗАТЕЛИ</t>
  </si>
  <si>
    <t>Дименсия</t>
  </si>
  <si>
    <t>t/h</t>
  </si>
  <si>
    <t>Топлинна мощност</t>
  </si>
  <si>
    <t>MW</t>
  </si>
  <si>
    <t>ВК-1</t>
  </si>
  <si>
    <t>ВК-2</t>
  </si>
  <si>
    <t>ВК-3</t>
  </si>
  <si>
    <t>Цпр вп</t>
  </si>
  <si>
    <t>УСЛОВНО-ПОСТОЯННИ   РАЗХОДИ</t>
  </si>
  <si>
    <t>отнесени към електрическата енергия</t>
  </si>
  <si>
    <t xml:space="preserve"> отнесени към електрическата енергия</t>
  </si>
  <si>
    <t>Разходи за ремонт</t>
  </si>
  <si>
    <t>ПРИЗНАТИ ГОДИШНИ РАЗХОДИ ЗА ДЕЙНОСТТА ПО ЛИЦЕНЗИЯТА</t>
  </si>
  <si>
    <t>ДНА- участвуващи в регулирането</t>
  </si>
  <si>
    <t>Дълготрайни нематериални активи-ДНА</t>
  </si>
  <si>
    <t>РЕГУЛАТОРНА БАЗА НА АКТИВИТЕ ЗА ДРУЖЕСТВО</t>
  </si>
  <si>
    <t>III</t>
  </si>
  <si>
    <t>IV</t>
  </si>
  <si>
    <t>1.</t>
  </si>
  <si>
    <t>Технологични разходи на топлинна енергия по преноса</t>
  </si>
  <si>
    <t>потребители за стопански нужди</t>
  </si>
  <si>
    <t>Еднокомпонентна цена на топлинна енергия с водна пара</t>
  </si>
  <si>
    <t>Еднокомпонентна цена на топлинна енергия с гореща вода</t>
  </si>
  <si>
    <t>потребители за битови нужди</t>
  </si>
  <si>
    <t>битови нужди</t>
  </si>
  <si>
    <t>стопански нужди</t>
  </si>
  <si>
    <t>По разходи за топлинна енергия</t>
  </si>
  <si>
    <t>По приходи от топлинна енергия по еднокомпонентни цени</t>
  </si>
  <si>
    <t>Изчисляване на коефициенти за разпределяне на разходите:</t>
  </si>
  <si>
    <t>Произведена електрическа енергия</t>
  </si>
  <si>
    <t>Електрическа енергия за собствени нужди</t>
  </si>
  <si>
    <t>Топлинна енергия за собствени нужди</t>
  </si>
  <si>
    <t>за топлинна енергия</t>
  </si>
  <si>
    <t>Производствена цена на  топлинната енергия с гореща вода</t>
  </si>
  <si>
    <t>Производствена цена на  топлинната енергия с водна пара</t>
  </si>
  <si>
    <t>Производствена цена на  топлинната енергия</t>
  </si>
  <si>
    <t>Преференциална цена на електрическата енергия</t>
  </si>
  <si>
    <t>kg/MWh</t>
  </si>
  <si>
    <t>лв/MWh</t>
  </si>
  <si>
    <t>самостоятелни потребители в т.ч. за:</t>
  </si>
  <si>
    <t>Отопляем обем на имот на потребителите на т. енергия с г. вода, за:</t>
  </si>
  <si>
    <t>сгради етажна собственост в т.ч. за:</t>
  </si>
  <si>
    <t>ТЕХНИКО-ИКОНОМИЧЕСКИ ПОКАЗАТЕЛИ В ПРЕНОСА</t>
  </si>
  <si>
    <t>Произведена топлинна енергия от ЕНЕРГИИНИ ПГ- бруто</t>
  </si>
  <si>
    <t>Разход на пара от промишлен пароотбор на турбините</t>
  </si>
  <si>
    <t>Енталпия на пара от промишлен пароотбор на турбините</t>
  </si>
  <si>
    <t xml:space="preserve"> - в топлоизточника</t>
  </si>
  <si>
    <t xml:space="preserve"> - в преноса и разпределението</t>
  </si>
  <si>
    <t>ВК-4</t>
  </si>
  <si>
    <t>ВК-5</t>
  </si>
  <si>
    <t>ВК-6</t>
  </si>
  <si>
    <t>hпп</t>
  </si>
  <si>
    <t>hппо</t>
  </si>
  <si>
    <t>hроу</t>
  </si>
  <si>
    <t>hпр.к</t>
  </si>
  <si>
    <t>hвр.к</t>
  </si>
  <si>
    <t>hдв</t>
  </si>
  <si>
    <t>ТЕХНИКО-ИКОНОМИЧЕСКИ ПОКАЗАТЕЛИ В ПРОИЗВОДСТВОТО НА</t>
  </si>
  <si>
    <t>Qк,бр</t>
  </si>
  <si>
    <t>Q пр</t>
  </si>
  <si>
    <t>Q отп</t>
  </si>
  <si>
    <t>водна пара</t>
  </si>
  <si>
    <t>Индивидуални разходи за единица електрическа енергия</t>
  </si>
  <si>
    <t>"Топлофикация- ....................." ЕАД</t>
  </si>
  <si>
    <r>
      <t>М</t>
    </r>
    <r>
      <rPr>
        <vertAlign val="subscript"/>
        <sz val="10"/>
        <rFont val="Times New Roman"/>
        <family val="1"/>
      </rPr>
      <t xml:space="preserve"> приз</t>
    </r>
  </si>
  <si>
    <r>
      <t xml:space="preserve">М </t>
    </r>
    <r>
      <rPr>
        <vertAlign val="subscript"/>
        <sz val="10"/>
        <rFont val="Times New Roman"/>
        <family val="1"/>
      </rPr>
      <t>приз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ВП</t>
    </r>
  </si>
  <si>
    <r>
      <t xml:space="preserve">М </t>
    </r>
    <r>
      <rPr>
        <vertAlign val="subscript"/>
        <sz val="10"/>
        <rFont val="Times New Roman"/>
        <family val="1"/>
      </rPr>
      <t>приз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ГВ</t>
    </r>
  </si>
  <si>
    <r>
      <t xml:space="preserve">Ц инд </t>
    </r>
    <r>
      <rPr>
        <vertAlign val="superscript"/>
        <sz val="10"/>
        <rFont val="Times New Roman"/>
        <family val="1"/>
      </rPr>
      <t>ел</t>
    </r>
  </si>
  <si>
    <r>
      <t xml:space="preserve">НП. </t>
    </r>
    <r>
      <rPr>
        <vertAlign val="superscript"/>
        <sz val="10"/>
        <rFont val="Times New Roman"/>
        <family val="1"/>
      </rPr>
      <t>ел</t>
    </r>
  </si>
  <si>
    <r>
      <t>Ц</t>
    </r>
    <r>
      <rPr>
        <vertAlign val="subscript"/>
        <sz val="10"/>
        <rFont val="Times New Roman"/>
        <family val="1"/>
      </rPr>
      <t xml:space="preserve"> пр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ел</t>
    </r>
  </si>
  <si>
    <r>
      <t>Ц</t>
    </r>
    <r>
      <rPr>
        <vertAlign val="subscript"/>
        <sz val="10"/>
        <rFont val="Times New Roman"/>
        <family val="1"/>
      </rPr>
      <t xml:space="preserve"> комб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ел</t>
    </r>
  </si>
  <si>
    <r>
      <t>Ц</t>
    </r>
    <r>
      <rPr>
        <b/>
        <vertAlign val="subscript"/>
        <sz val="10"/>
        <rFont val="Times New Roman"/>
        <family val="1"/>
      </rPr>
      <t xml:space="preserve"> преф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ел</t>
    </r>
  </si>
  <si>
    <r>
      <t xml:space="preserve">Прих </t>
    </r>
    <r>
      <rPr>
        <vertAlign val="superscript"/>
        <sz val="10"/>
        <rFont val="Times New Roman"/>
        <family val="1"/>
      </rPr>
      <t>ел</t>
    </r>
  </si>
  <si>
    <r>
      <t>НП.</t>
    </r>
    <r>
      <rPr>
        <vertAlign val="superscript"/>
        <sz val="10"/>
        <rFont val="Times New Roman"/>
        <family val="1"/>
      </rPr>
      <t>т</t>
    </r>
  </si>
  <si>
    <t>ДВГ-1</t>
  </si>
  <si>
    <t>ДВГ-2</t>
  </si>
  <si>
    <t>ДВГ-3</t>
  </si>
  <si>
    <t>ДВГ-4</t>
  </si>
  <si>
    <t>ДВГ-5</t>
  </si>
  <si>
    <t>ДВГ-6</t>
  </si>
  <si>
    <t>MWq</t>
  </si>
  <si>
    <t>MWe</t>
  </si>
  <si>
    <t>Електрическа ефективност</t>
  </si>
  <si>
    <t>Топлинна ефективност</t>
  </si>
  <si>
    <t>Променливи Разходи за производство на Електрическа енергия</t>
  </si>
  <si>
    <t>Условно-Постоянни Разходи за производство на Електрическа енергия</t>
  </si>
  <si>
    <t>Признати Годишни Разходи за производство на Електрическа енергия</t>
  </si>
  <si>
    <t>ВЪЗВРЪЩАЕМОСТ НА КАПИТАЛА ЗА Електрическа енергия</t>
  </si>
  <si>
    <r>
      <t>РЕГУЛАТОРНА БАЗА НА АКТИВИТЕ ЗА ЕЛЕКТРОЕНЕРГИЯ- РБА</t>
    </r>
    <r>
      <rPr>
        <b/>
        <vertAlign val="superscript"/>
        <sz val="10"/>
        <rFont val="Times New Roman"/>
        <family val="1"/>
      </rPr>
      <t>е</t>
    </r>
  </si>
  <si>
    <r>
      <t>РЕГУЛАТОРНА БАЗА НА АКТИВИТЕ ЗА ТОПЛИННА ЕНЕРГИЯ- РБА</t>
    </r>
    <r>
      <rPr>
        <b/>
        <vertAlign val="superscript"/>
        <sz val="10"/>
        <rFont val="Times New Roman"/>
        <family val="1"/>
      </rPr>
      <t>т</t>
    </r>
  </si>
  <si>
    <t>ПРОИЗ.</t>
  </si>
  <si>
    <t>4.1.</t>
  </si>
  <si>
    <t>4.2.</t>
  </si>
  <si>
    <t>Изп. директор:</t>
  </si>
  <si>
    <t>Гл. счетоводител:</t>
  </si>
  <si>
    <t>/ Xxx                  /</t>
  </si>
  <si>
    <t>/ Xxxxxx                  /</t>
  </si>
  <si>
    <t>Водогрейни котли (ВК)</t>
  </si>
  <si>
    <t>1.1.</t>
  </si>
  <si>
    <t>1.2.</t>
  </si>
  <si>
    <t>1.3.</t>
  </si>
  <si>
    <t>1.4.</t>
  </si>
  <si>
    <t>1.5.</t>
  </si>
  <si>
    <t>3.1.</t>
  </si>
  <si>
    <t>3.2.</t>
  </si>
  <si>
    <t>5.1.</t>
  </si>
  <si>
    <t>5.2.</t>
  </si>
  <si>
    <t>5.3.</t>
  </si>
  <si>
    <t>5.4.</t>
  </si>
  <si>
    <t>5.5.</t>
  </si>
  <si>
    <t>5.6.</t>
  </si>
  <si>
    <t>ГТ-1</t>
  </si>
  <si>
    <t>ГТ-2</t>
  </si>
  <si>
    <t>Електрическа ефективност на ГТ</t>
  </si>
  <si>
    <t>2.1.</t>
  </si>
  <si>
    <t>2.2.</t>
  </si>
  <si>
    <t>2.4.</t>
  </si>
  <si>
    <t>2.5.</t>
  </si>
  <si>
    <t>2.3.</t>
  </si>
  <si>
    <t xml:space="preserve">Договори </t>
  </si>
  <si>
    <t>N-………/…………..г.</t>
  </si>
  <si>
    <t>Изплатена главница (хил. лв)</t>
  </si>
  <si>
    <t xml:space="preserve"> - за финансов лизинг</t>
  </si>
  <si>
    <t xml:space="preserve"> - за кредити</t>
  </si>
  <si>
    <t xml:space="preserve">Привлечен капитал, в т.ч. </t>
  </si>
  <si>
    <t>ПРОИЗВОДСТВО</t>
  </si>
  <si>
    <t>осигурителни вноски</t>
  </si>
  <si>
    <t>социални разходи</t>
  </si>
  <si>
    <t>5.7.</t>
  </si>
  <si>
    <t>5.8.</t>
  </si>
  <si>
    <t>5.9.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</si>
  <si>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</si>
  <si>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</si>
  <si>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</si>
  <si>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</si>
  <si>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</si>
  <si>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</si>
  <si>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</si>
  <si>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</si>
  <si>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</si>
  <si>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</si>
  <si>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</si>
  <si>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</si>
  <si>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</si>
  <si>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</si>
  <si>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</si>
  <si>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5.10.</t>
  </si>
  <si>
    <t>5.26.</t>
  </si>
  <si>
    <t>5.27.</t>
  </si>
  <si>
    <t>5.28.</t>
  </si>
  <si>
    <t>5.29.</t>
  </si>
  <si>
    <t>5.30.</t>
  </si>
  <si>
    <t>Разходи за закупена енергия</t>
  </si>
  <si>
    <r>
      <rPr>
        <b/>
        <sz val="9"/>
        <rFont val="Times New Roman"/>
        <family val="1"/>
      </rPr>
      <t>Начисления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свързани с т. 3, по действащото </t>
    </r>
    <r>
      <rPr>
        <sz val="9"/>
        <rFont val="Times New Roman"/>
        <family val="1"/>
      </rPr>
      <t>законодателство</t>
    </r>
  </si>
  <si>
    <t>Цена за некомбинирана електрическа енергия</t>
  </si>
  <si>
    <t>Добавка</t>
  </si>
  <si>
    <t>Топлинна мощност (паспорт)</t>
  </si>
  <si>
    <t>Разходи за лицензионни такси</t>
  </si>
  <si>
    <t>Номинален разход на пара КУ '</t>
  </si>
  <si>
    <t>Номинален разход на пара КУ "</t>
  </si>
  <si>
    <r>
      <t xml:space="preserve">b </t>
    </r>
    <r>
      <rPr>
        <vertAlign val="subscript"/>
        <sz val="10"/>
        <rFont val="Times New Roman"/>
        <family val="1"/>
      </rPr>
      <t>ел</t>
    </r>
  </si>
  <si>
    <r>
      <t xml:space="preserve">b </t>
    </r>
    <r>
      <rPr>
        <vertAlign val="subscript"/>
        <sz val="10"/>
        <rFont val="Times New Roman"/>
        <family val="1"/>
      </rPr>
      <t>т</t>
    </r>
  </si>
  <si>
    <t>1.1.1</t>
  </si>
  <si>
    <t>1.1.2</t>
  </si>
  <si>
    <t>1.1.3</t>
  </si>
  <si>
    <t>1.1.4</t>
  </si>
  <si>
    <t>Приложение: Заверени копия на договорите за лизинг и кредит и анексите към тях.</t>
  </si>
  <si>
    <t>Цена на топлинна енергия с водна пара (от производство)</t>
  </si>
  <si>
    <t>Цена на топлинна енергия с водна пара (за пренос)</t>
  </si>
  <si>
    <t>Цена на топлинна енергия с гореща вода (от производство)</t>
  </si>
  <si>
    <r>
      <t xml:space="preserve">ТЕХНИКО-ИКОНОМИЧЕСКИ ПОКАЗАТЕЛИ </t>
    </r>
    <r>
      <rPr>
        <b/>
        <i/>
        <u val="single"/>
        <sz val="10"/>
        <rFont val="Times New Roman"/>
        <family val="1"/>
      </rPr>
      <t>ВОДНА ПАРА</t>
    </r>
  </si>
  <si>
    <r>
      <t xml:space="preserve">ТЕХНИКО-ИКОНОМИЧЕСКИ ПОКАЗАТЕЛИ </t>
    </r>
    <r>
      <rPr>
        <b/>
        <i/>
        <u val="single"/>
        <sz val="10"/>
        <rFont val="Times New Roman"/>
        <family val="1"/>
      </rPr>
      <t>ГОРЕЩА ВОДА</t>
    </r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</si>
  <si>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</si>
  <si>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Топлинна енергия за разпределение с водна пара</t>
  </si>
  <si>
    <t>Отпусната топлинна енергия към преноса с водна пара</t>
  </si>
  <si>
    <t>ОТЧЕТ</t>
  </si>
  <si>
    <t>ПРОГНОЗА</t>
  </si>
  <si>
    <t>НГП от топлинна енергия с водна пара</t>
  </si>
  <si>
    <t>kBGN</t>
  </si>
  <si>
    <t>Възвращаемост в преноса на  топлинна енергия с горща вода</t>
  </si>
  <si>
    <t>Пълни разходи в производство за топлинна енергия с горща вода</t>
  </si>
  <si>
    <t>УПР в преноса на  топлинна енергия с горща вода</t>
  </si>
  <si>
    <t>Пълни разходи в производство за топлинна енергия с водна пара</t>
  </si>
  <si>
    <t>Пълни разходи в преноса на топлинна енергия с водна пара</t>
  </si>
  <si>
    <t>Възвращаемост в преноса на  топлинна енергия с водна пара</t>
  </si>
  <si>
    <t>УПР в преноса на  топлинна енергия с водна пара</t>
  </si>
  <si>
    <t>Q пр, гв</t>
  </si>
  <si>
    <t>Q пр, вп</t>
  </si>
  <si>
    <t>Е комб.</t>
  </si>
  <si>
    <t>Произведена комбинирана електрическа енергия</t>
  </si>
  <si>
    <t xml:space="preserve">                                                           природен газ</t>
  </si>
  <si>
    <t>Ц гориво</t>
  </si>
  <si>
    <t>GJ</t>
  </si>
  <si>
    <t>МОДЕЛ</t>
  </si>
  <si>
    <t>за образуване цени на електрическа и/или топлинна енергия</t>
  </si>
  <si>
    <r>
      <t xml:space="preserve">Определяне на количеството </t>
    </r>
    <r>
      <rPr>
        <b/>
        <u val="single"/>
        <sz val="10"/>
        <rFont val="Times New Roman"/>
        <family val="1"/>
      </rPr>
      <t>реализирана топлинна енергия</t>
    </r>
    <r>
      <rPr>
        <sz val="10"/>
        <rFont val="Times New Roman"/>
        <family val="1"/>
      </rPr>
      <t>.</t>
    </r>
  </si>
  <si>
    <r>
      <t xml:space="preserve">Определяне на </t>
    </r>
    <r>
      <rPr>
        <b/>
        <u val="single"/>
        <sz val="10"/>
        <rFont val="Times New Roman"/>
        <family val="1"/>
      </rPr>
      <t>технологичните разходи</t>
    </r>
    <r>
      <rPr>
        <sz val="10"/>
        <rFont val="Times New Roman"/>
        <family val="1"/>
      </rPr>
      <t xml:space="preserve"> на ТЕ при </t>
    </r>
    <r>
      <rPr>
        <b/>
        <u val="single"/>
        <sz val="10"/>
        <rFont val="Times New Roman"/>
        <family val="1"/>
      </rPr>
      <t>преноса</t>
    </r>
    <r>
      <rPr>
        <sz val="10"/>
        <rFont val="Times New Roman"/>
        <family val="1"/>
      </rPr>
      <t xml:space="preserve"> на ТЕ.</t>
    </r>
  </si>
  <si>
    <r>
      <t xml:space="preserve">Определяне на количеството </t>
    </r>
    <r>
      <rPr>
        <b/>
        <u val="single"/>
        <sz val="10"/>
        <rFont val="Times New Roman"/>
        <family val="1"/>
      </rPr>
      <t>топлинна енергия на изход централа</t>
    </r>
    <r>
      <rPr>
        <sz val="10"/>
        <rFont val="Times New Roman"/>
        <family val="1"/>
      </rPr>
      <t xml:space="preserve">, </t>
    </r>
    <r>
      <rPr>
        <b/>
        <u val="single"/>
        <sz val="10"/>
        <rFont val="Times New Roman"/>
        <family val="1"/>
      </rPr>
      <t>собствените нужди от ТЕ</t>
    </r>
    <r>
      <rPr>
        <sz val="10"/>
        <rFont val="Times New Roman"/>
        <family val="1"/>
      </rPr>
      <t xml:space="preserve"> за производство на електрическа и/или топлинна енергия.</t>
    </r>
  </si>
  <si>
    <r>
      <rPr>
        <b/>
        <u val="single"/>
        <sz val="10"/>
        <rFont val="Times New Roman"/>
        <family val="1"/>
      </rPr>
      <t>Избор на съоръжения за производство</t>
    </r>
    <r>
      <rPr>
        <sz val="10"/>
        <rFont val="Times New Roman"/>
        <family val="1"/>
      </rPr>
      <t xml:space="preserve"> на  необходимата топлинна енергия и съответната </t>
    </r>
    <r>
      <rPr>
        <b/>
        <u val="single"/>
        <sz val="10"/>
        <rFont val="Times New Roman"/>
        <family val="1"/>
      </rPr>
      <t>електрическа енергия</t>
    </r>
    <r>
      <rPr>
        <sz val="10"/>
        <rFont val="Times New Roman"/>
        <family val="1"/>
      </rPr>
      <t xml:space="preserve">, както и </t>
    </r>
    <r>
      <rPr>
        <b/>
        <u val="single"/>
        <sz val="10"/>
        <rFont val="Times New Roman"/>
        <family val="1"/>
      </rPr>
      <t xml:space="preserve">собствените нужди на ЕЕ </t>
    </r>
    <r>
      <rPr>
        <sz val="10"/>
        <rFont val="Times New Roman"/>
        <family val="1"/>
      </rPr>
      <t>за производството на електрическата и/или топлинна енергия.</t>
    </r>
  </si>
  <si>
    <r>
      <t xml:space="preserve">Определяне на необходимите </t>
    </r>
    <r>
      <rPr>
        <b/>
        <u val="single"/>
        <sz val="10"/>
        <rFont val="Times New Roman"/>
        <family val="1"/>
      </rPr>
      <t>количества горива</t>
    </r>
    <r>
      <rPr>
        <sz val="10"/>
        <rFont val="Times New Roman"/>
        <family val="1"/>
      </rPr>
      <t xml:space="preserve"> (при съответната калоричност) за избраните съоръжения при съответната им ефективност.</t>
    </r>
  </si>
  <si>
    <r>
      <t xml:space="preserve">Проверка на прогнозната </t>
    </r>
    <r>
      <rPr>
        <b/>
        <u val="single"/>
        <sz val="10"/>
        <rFont val="Times New Roman"/>
        <family val="1"/>
      </rPr>
      <t>общата ефективност</t>
    </r>
    <r>
      <rPr>
        <sz val="10"/>
        <rFont val="Times New Roman"/>
        <family val="1"/>
      </rPr>
      <t xml:space="preserve"> и</t>
    </r>
    <r>
      <rPr>
        <b/>
        <u val="single"/>
        <sz val="10"/>
        <rFont val="Times New Roman"/>
        <family val="1"/>
      </rPr>
      <t xml:space="preserve"> икономия на гориво</t>
    </r>
    <r>
      <rPr>
        <sz val="10"/>
        <rFont val="Times New Roman"/>
        <family val="1"/>
      </rPr>
      <t xml:space="preserve"> спряма разделно производство на електрическа и топрлинна енергия..</t>
    </r>
  </si>
  <si>
    <r>
      <rPr>
        <b/>
        <u val="single"/>
        <sz val="10"/>
        <rFont val="Times New Roman"/>
        <family val="1"/>
      </rPr>
      <t>Разпределение на реализираната електрическа енергия</t>
    </r>
    <r>
      <rPr>
        <sz val="10"/>
        <rFont val="Times New Roman"/>
        <family val="1"/>
      </rPr>
      <t xml:space="preserve"> по видове и потребители.</t>
    </r>
  </si>
  <si>
    <r>
      <t>Определяне на</t>
    </r>
    <r>
      <rPr>
        <b/>
        <u val="single"/>
        <sz val="10"/>
        <rFont val="Times New Roman"/>
        <family val="1"/>
      </rPr>
      <t xml:space="preserve"> ДМА</t>
    </r>
    <r>
      <rPr>
        <sz val="10"/>
        <rFont val="Times New Roman"/>
        <family val="1"/>
      </rPr>
      <t xml:space="preserve"> за производство на електрическата и/или топлинна енергия и разделянето им за инсталации за комбинирано производство и за инсталации за разделно производство, така и за пренос.</t>
    </r>
  </si>
  <si>
    <r>
      <t>Формиране на</t>
    </r>
    <r>
      <rPr>
        <b/>
        <u val="single"/>
        <sz val="10"/>
        <rFont val="Times New Roman"/>
        <family val="1"/>
      </rPr>
      <t xml:space="preserve"> ДМА</t>
    </r>
    <r>
      <rPr>
        <sz val="10"/>
        <rFont val="Times New Roman"/>
        <family val="1"/>
      </rPr>
      <t xml:space="preserve"> за електрическата и/или топлинна енергия (производство и пренос).</t>
    </r>
  </si>
  <si>
    <r>
      <t xml:space="preserve">Пресмятане на </t>
    </r>
    <r>
      <rPr>
        <b/>
        <u val="single"/>
        <sz val="10"/>
        <rFont val="Times New Roman"/>
        <family val="1"/>
      </rPr>
      <t>НВ</t>
    </r>
    <r>
      <rPr>
        <sz val="10"/>
        <rFont val="Times New Roman"/>
        <family val="1"/>
      </rPr>
      <t>.</t>
    </r>
  </si>
  <si>
    <r>
      <t>Определяне на</t>
    </r>
    <r>
      <rPr>
        <b/>
        <u val="single"/>
        <sz val="10"/>
        <rFont val="Times New Roman"/>
        <family val="1"/>
      </rPr>
      <t xml:space="preserve"> Променливите разходи</t>
    </r>
    <r>
      <rPr>
        <sz val="10"/>
        <rFont val="Times New Roman"/>
        <family val="1"/>
      </rPr>
      <t xml:space="preserve"> за производство на електрическата и/или топлинна енергия (за инсталации за комбинирано производство и за инсталации за разделно производство).</t>
    </r>
  </si>
  <si>
    <r>
      <t>Определяне на</t>
    </r>
    <r>
      <rPr>
        <b/>
        <u val="single"/>
        <sz val="10"/>
        <rFont val="Times New Roman"/>
        <family val="1"/>
      </rPr>
      <t xml:space="preserve"> УПР</t>
    </r>
    <r>
      <rPr>
        <sz val="10"/>
        <rFont val="Times New Roman"/>
        <family val="1"/>
      </rPr>
      <t xml:space="preserve"> за производство на електрическата и/или топлинна енергия и разделянето им за инсталации за комбинирано производство и за инсталации за разделно производство.</t>
    </r>
  </si>
  <si>
    <r>
      <t>Определяне на</t>
    </r>
    <r>
      <rPr>
        <b/>
        <u val="single"/>
        <sz val="10"/>
        <rFont val="Times New Roman"/>
        <family val="1"/>
      </rPr>
      <t xml:space="preserve"> УПР</t>
    </r>
    <r>
      <rPr>
        <sz val="10"/>
        <rFont val="Times New Roman"/>
        <family val="1"/>
      </rPr>
      <t xml:space="preserve"> за пренос на топлинна енергия.</t>
    </r>
  </si>
  <si>
    <r>
      <t xml:space="preserve">Пресмятане </t>
    </r>
    <r>
      <rPr>
        <b/>
        <u val="single"/>
        <sz val="10"/>
        <color indexed="12"/>
        <rFont val="Times New Roman"/>
        <family val="1"/>
      </rPr>
      <t>цената на електрическата енергия</t>
    </r>
    <r>
      <rPr>
        <sz val="10"/>
        <rFont val="Times New Roman"/>
        <family val="1"/>
      </rPr>
      <t xml:space="preserve"> и определяне на </t>
    </r>
    <r>
      <rPr>
        <b/>
        <u val="single"/>
        <sz val="10"/>
        <color indexed="12"/>
        <rFont val="Times New Roman"/>
        <family val="1"/>
      </rPr>
      <t>преференциална цена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(определяне на </t>
    </r>
    <r>
      <rPr>
        <b/>
        <u val="single"/>
        <sz val="10"/>
        <color indexed="12"/>
        <rFont val="Times New Roman"/>
        <family val="1"/>
      </rPr>
      <t>добавката</t>
    </r>
    <r>
      <rPr>
        <sz val="10"/>
        <rFont val="Times New Roman"/>
        <family val="1"/>
      </rPr>
      <t>).</t>
    </r>
  </si>
  <si>
    <r>
      <t xml:space="preserve">Пресмятане </t>
    </r>
    <r>
      <rPr>
        <b/>
        <u val="single"/>
        <sz val="10"/>
        <color indexed="10"/>
        <rFont val="Times New Roman"/>
        <family val="1"/>
      </rPr>
      <t>цената на топлинната енергия от производството</t>
    </r>
    <r>
      <rPr>
        <sz val="10"/>
        <rFont val="Times New Roman"/>
        <family val="1"/>
      </rPr>
      <t>.</t>
    </r>
  </si>
  <si>
    <r>
      <t xml:space="preserve">Пресмятане </t>
    </r>
    <r>
      <rPr>
        <b/>
        <u val="single"/>
        <sz val="10"/>
        <color indexed="10"/>
        <rFont val="Times New Roman"/>
        <family val="1"/>
      </rPr>
      <t>цената за пренос</t>
    </r>
    <r>
      <rPr>
        <sz val="10"/>
        <rFont val="Times New Roman"/>
        <family val="1"/>
      </rPr>
      <t xml:space="preserve"> на топлинната енергия по топлопреносната мрежа.</t>
    </r>
  </si>
  <si>
    <r>
      <t xml:space="preserve">Пресмятане </t>
    </r>
    <r>
      <rPr>
        <b/>
        <u val="single"/>
        <sz val="10"/>
        <color indexed="10"/>
        <rFont val="Times New Roman"/>
        <family val="1"/>
      </rPr>
      <t>цената на топлинната енергия</t>
    </r>
    <r>
      <rPr>
        <sz val="10"/>
        <rFont val="Times New Roman"/>
        <family val="1"/>
      </rPr>
      <t xml:space="preserve"> за реализация.</t>
    </r>
  </si>
  <si>
    <t>друг вид гориво (ВЕИ)</t>
  </si>
  <si>
    <t>Qвеи</t>
  </si>
  <si>
    <t>Цвеи</t>
  </si>
  <si>
    <r>
      <t>knm</t>
    </r>
    <r>
      <rPr>
        <vertAlign val="superscript"/>
        <sz val="10"/>
        <rFont val="Times New Roman"/>
        <family val="1"/>
      </rPr>
      <t>3</t>
    </r>
  </si>
  <si>
    <r>
      <t>kcal/knm</t>
    </r>
    <r>
      <rPr>
        <vertAlign val="super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</si>
  <si>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 xml:space="preserve"> c.f.</t>
    </r>
  </si>
  <si>
    <t>BGN/MWh</t>
  </si>
  <si>
    <r>
      <t>BGN/knm</t>
    </r>
    <r>
      <rPr>
        <vertAlign val="superscript"/>
        <sz val="10"/>
        <rFont val="Times New Roman"/>
        <family val="1"/>
      </rPr>
      <t>3</t>
    </r>
  </si>
  <si>
    <t>BGN/t</t>
  </si>
  <si>
    <t>Топлинна ефективност (паспорт)</t>
  </si>
  <si>
    <t>BGN</t>
  </si>
  <si>
    <t>Дим.</t>
  </si>
  <si>
    <t>ВК-7</t>
  </si>
  <si>
    <t>ИНСТАЛИРАНИ ВОДОГРЕЙНИ КОТЛИ (ВК) В ЕКСПЛОАТАЦИЯ</t>
  </si>
  <si>
    <t xml:space="preserve">Топлинна енергия за разпределение - с гореща вода: </t>
  </si>
  <si>
    <t>КОМБИНИРАНО</t>
  </si>
  <si>
    <t>РАЗДЕЛНО (ВК&amp;ППК)</t>
  </si>
  <si>
    <t>РАЗХОДИ ЗА ПРОИЗВОДСТВО НА</t>
  </si>
  <si>
    <t>Параметри</t>
  </si>
  <si>
    <t>ОБЩА ефективност</t>
  </si>
  <si>
    <t>Условно Гориво за производство на Топлинната енергия</t>
  </si>
  <si>
    <t>Условно Гориво за производство на Електрическата енергия</t>
  </si>
  <si>
    <t xml:space="preserve">                                                  електрическа енергия</t>
  </si>
  <si>
    <t xml:space="preserve">Електрическа енергия за собствени нужди на централата, за производство на: </t>
  </si>
  <si>
    <t>ГОДИШНО</t>
  </si>
  <si>
    <t>общо</t>
  </si>
  <si>
    <t>с гореща вода</t>
  </si>
  <si>
    <t>с водна пара</t>
  </si>
  <si>
    <t>Q сн</t>
  </si>
  <si>
    <t>Q произведена от ВК</t>
  </si>
  <si>
    <t>Q произведена от ППК</t>
  </si>
  <si>
    <r>
      <t xml:space="preserve">t </t>
    </r>
    <r>
      <rPr>
        <vertAlign val="subscript"/>
        <sz val="10"/>
        <rFont val="Times New Roman"/>
        <family val="1"/>
      </rPr>
      <t>cf</t>
    </r>
  </si>
  <si>
    <t>условно гориво</t>
  </si>
  <si>
    <t>друго (ВЕИ)</t>
  </si>
  <si>
    <r>
      <t>t (knm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</si>
  <si>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Е реализация</t>
  </si>
  <si>
    <t>на НЕК</t>
  </si>
  <si>
    <t>на ЕРД</t>
  </si>
  <si>
    <t>на други</t>
  </si>
  <si>
    <t>Е продажба</t>
  </si>
  <si>
    <t>Икономия на първичен енергиен ресурс (гориво) спрямо раздено производство</t>
  </si>
  <si>
    <t>Произведена комбинирана електрическа енергия от ВЕКП</t>
  </si>
  <si>
    <t>Е векп</t>
  </si>
  <si>
    <t>КПД пг</t>
  </si>
  <si>
    <r>
      <t xml:space="preserve">η </t>
    </r>
    <r>
      <rPr>
        <vertAlign val="subscript"/>
        <sz val="10"/>
        <rFont val="Times New Roman"/>
        <family val="1"/>
      </rPr>
      <t>пг</t>
    </r>
  </si>
  <si>
    <r>
      <t>m</t>
    </r>
    <r>
      <rPr>
        <vertAlign val="superscript"/>
        <sz val="8"/>
        <rFont val="Times New Roman"/>
        <family val="1"/>
      </rPr>
      <t>3</t>
    </r>
  </si>
  <si>
    <t>Ввеи</t>
  </si>
  <si>
    <r>
      <t>kcal/kg(nm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</si>
  <si>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Q горива</t>
  </si>
  <si>
    <t>В cf</t>
  </si>
  <si>
    <r>
      <t xml:space="preserve">Q </t>
    </r>
    <r>
      <rPr>
        <vertAlign val="subscript"/>
        <sz val="10"/>
        <rFont val="Times New Roman"/>
        <family val="1"/>
      </rPr>
      <t>т пр.г.</t>
    </r>
  </si>
  <si>
    <r>
      <t xml:space="preserve">Q </t>
    </r>
    <r>
      <rPr>
        <vertAlign val="subscript"/>
        <sz val="10"/>
        <rFont val="Times New Roman"/>
        <family val="1"/>
      </rPr>
      <t>т в</t>
    </r>
  </si>
  <si>
    <t>Ц емисии</t>
  </si>
  <si>
    <t>Количество закупени емисии парникови газове (СО2)</t>
  </si>
  <si>
    <t>Цени на горивата без ДДС</t>
  </si>
  <si>
    <t>Индивидуални разходи за единица топлинна енергия</t>
  </si>
  <si>
    <r>
      <t xml:space="preserve">Горна работна калоричност на горивата                                 </t>
    </r>
    <r>
      <rPr>
        <b/>
        <sz val="12"/>
        <rFont val="Times New Roman"/>
        <family val="1"/>
      </rPr>
      <t>природен газ</t>
    </r>
  </si>
  <si>
    <t>Долна работна калоричност на горивата                                 природен газ</t>
  </si>
  <si>
    <t>Разходи за емисии парникови газове (СО2)</t>
  </si>
  <si>
    <t>3</t>
  </si>
  <si>
    <t>4</t>
  </si>
  <si>
    <t>5</t>
  </si>
  <si>
    <r>
      <t>t/(knm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</si>
  <si>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BGN/t(knm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</si>
  <si>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kcal/kg(nm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</si>
  <si>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t>Разходи за материали, в т.ч.</t>
  </si>
  <si>
    <t xml:space="preserve"> отнесени към топлинната енергия:</t>
  </si>
  <si>
    <t>в това число за ремонт на ВК§ППК</t>
  </si>
  <si>
    <t>в това число за Ам на ВК§ППК</t>
  </si>
  <si>
    <r>
      <t>УСЛОВНО-ПОСТОЯННИ   РАЗХОДИ</t>
    </r>
    <r>
      <rPr>
        <b/>
        <sz val="10"/>
        <rFont val="Times New Roman"/>
        <family val="1"/>
      </rPr>
      <t xml:space="preserve">  без Am</t>
    </r>
  </si>
  <si>
    <r>
      <t xml:space="preserve">Срок                </t>
    </r>
    <r>
      <rPr>
        <sz val="9"/>
        <rFont val="Times New Roman"/>
        <family val="1"/>
      </rPr>
      <t>(години и месеци)</t>
    </r>
  </si>
  <si>
    <t>Лихва       ( % )</t>
  </si>
  <si>
    <t>Стойност (хил. лв)</t>
  </si>
  <si>
    <t>Топлинна мощност на КУ</t>
  </si>
  <si>
    <t>Топлинна ефективност на ГТ§КУ</t>
  </si>
  <si>
    <t>ДВГ-7</t>
  </si>
  <si>
    <t>Топлинна мощност с вп КУ "</t>
  </si>
  <si>
    <t>Топлинна мощност с вп КУ '</t>
  </si>
  <si>
    <t>Топлинна мощност с гв КУ "'</t>
  </si>
  <si>
    <t>Топлинна мощност на ЕПГ</t>
  </si>
  <si>
    <t>Номинален разход на пара ЕПГ</t>
  </si>
  <si>
    <t>Електрическа мощност на ПТ (ТГ)</t>
  </si>
  <si>
    <r>
      <t xml:space="preserve">Топлинна ефективност на </t>
    </r>
    <r>
      <rPr>
        <sz val="8"/>
        <rFont val="Times New Roman"/>
        <family val="1"/>
      </rPr>
      <t>ЕПГ (КПД)</t>
    </r>
  </si>
  <si>
    <t>Топлинна мощност на ППО</t>
  </si>
  <si>
    <t>Топлинна мощност на ТПО</t>
  </si>
  <si>
    <t>Разход на вп от ТПО§Противоналягане</t>
  </si>
  <si>
    <t>Разход на вп от ППО§Противоналягане</t>
  </si>
  <si>
    <t>ЕПГ-1</t>
  </si>
  <si>
    <t>ЕПГ-2</t>
  </si>
  <si>
    <t>ЕПГ-3</t>
  </si>
  <si>
    <t>ГТ с КУ, ЕПГ и ПТ</t>
  </si>
  <si>
    <t xml:space="preserve">ГАЗОВИ ТУРБИНИ С КОТЛИ УТИЛИЗАТОРИ, ЕНЕРГИЙНИ ПАРОГЕНЕРАТОРИ И ПАРНИ ТУРБИНИ  (ПГЦ) и (ГТ с КУ)  </t>
  </si>
  <si>
    <t>Паспортни данни</t>
  </si>
  <si>
    <t>Разходи за ТР в преноса на  топлинна енергия с горща вода</t>
  </si>
  <si>
    <t>Разходи за ТР в преноса на  топлинна енергия с водна пара</t>
  </si>
  <si>
    <t>ТЕХНИЧЕСКИ ПОКАЗАТЕЛИ НА КОМБИНИРАНАТА ЧАСТ ОТ ЦЕНТРАЛАТА</t>
  </si>
  <si>
    <t>Q пр,вп</t>
  </si>
  <si>
    <t>Q пр,гв</t>
  </si>
  <si>
    <t>В ен.ч.</t>
  </si>
  <si>
    <t>t у.г.</t>
  </si>
  <si>
    <t>Произведена топлинна енергия от комбинирано производство</t>
  </si>
  <si>
    <r>
      <t>1000 nm</t>
    </r>
    <r>
      <rPr>
        <vertAlign val="superscript"/>
        <sz val="8"/>
        <rFont val="Times New Roman"/>
        <family val="1"/>
      </rPr>
      <t>3</t>
    </r>
  </si>
  <si>
    <r>
      <t>Δ</t>
    </r>
    <r>
      <rPr>
        <b/>
        <sz val="10.5"/>
        <rFont val="Times New Roman"/>
        <family val="1"/>
      </rPr>
      <t>F</t>
    </r>
  </si>
  <si>
    <r>
      <t>ОБЩА ефективност (η</t>
    </r>
    <r>
      <rPr>
        <vertAlign val="subscript"/>
        <sz val="10"/>
        <rFont val="Times New Roman"/>
        <family val="1"/>
      </rPr>
      <t>общо</t>
    </r>
    <r>
      <rPr>
        <sz val="10"/>
        <rFont val="Times New Roman"/>
        <family val="1"/>
      </rPr>
      <t>)</t>
    </r>
  </si>
  <si>
    <t>Q отп, гв</t>
  </si>
  <si>
    <t>Q отп, вп</t>
  </si>
  <si>
    <t>Q сн, гв</t>
  </si>
  <si>
    <t>Q сн, вп</t>
  </si>
  <si>
    <t>ТЕХНИЧЕСКИ ПОКАЗАТЕЛИ НА ВОДОГРЕЙНАТА  И  ПАРНА ЧАСТ ОТ ЦЕНТРАЛАТА</t>
  </si>
  <si>
    <t>Произведена топлинна енергия от ВК и ППК</t>
  </si>
  <si>
    <t>Топлинна ефективност (КПД)</t>
  </si>
  <si>
    <r>
      <t xml:space="preserve">η </t>
    </r>
    <r>
      <rPr>
        <vertAlign val="subscript"/>
        <sz val="10"/>
        <rFont val="Times New Roman"/>
        <family val="1"/>
      </rPr>
      <t>общо</t>
    </r>
  </si>
  <si>
    <r>
      <t xml:space="preserve">в </t>
    </r>
    <r>
      <rPr>
        <vertAlign val="subscript"/>
        <sz val="10"/>
        <rFont val="Times New Roman"/>
        <family val="1"/>
      </rPr>
      <t>е</t>
    </r>
  </si>
  <si>
    <r>
      <t xml:space="preserve">в </t>
    </r>
    <r>
      <rPr>
        <vertAlign val="subscript"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co-g</t>
    </r>
  </si>
  <si>
    <t>В пг</t>
  </si>
  <si>
    <t>В м</t>
  </si>
  <si>
    <t>Q веи</t>
  </si>
  <si>
    <t>В г</t>
  </si>
  <si>
    <t>ТЕХНИКО ИКОНОМИЧЕСКИ ПОКАЗАТЕЛИ ЗА ЦЕНТРАЛАТА</t>
  </si>
  <si>
    <t>Е не комб.</t>
  </si>
  <si>
    <t>комбинирана електрическа енергия от високоефективно производство</t>
  </si>
  <si>
    <t>комбинирана електрическа енергия</t>
  </si>
  <si>
    <t>Условно гориво за производство на енергия</t>
  </si>
  <si>
    <t>Топлина на горивата за производство, натурални количества и съотвения им дял</t>
  </si>
  <si>
    <r>
      <t>СРУГ</t>
    </r>
    <r>
      <rPr>
        <vertAlign val="subscript"/>
        <sz val="10"/>
        <rFont val="Times New Roman"/>
        <family val="1"/>
      </rPr>
      <t>бр</t>
    </r>
    <r>
      <rPr>
        <sz val="10"/>
        <rFont val="Times New Roman"/>
        <family val="1"/>
      </rPr>
      <t xml:space="preserve">    </t>
    </r>
    <r>
      <rPr>
        <b/>
        <sz val="10"/>
        <color indexed="10"/>
        <rFont val="Times New Roman"/>
        <family val="1"/>
      </rPr>
      <t xml:space="preserve">                                                                                  за топлинна енергия</t>
    </r>
  </si>
  <si>
    <t>Условно гориво за производство на енергия в комбинираната част</t>
  </si>
  <si>
    <t>Условно гориво за производство на енергия във ВК и ППК</t>
  </si>
  <si>
    <t>Топлина на горивата за производство и натурални количества</t>
  </si>
  <si>
    <r>
      <t xml:space="preserve">η </t>
    </r>
    <r>
      <rPr>
        <vertAlign val="subscript"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вк и ппк</t>
    </r>
  </si>
  <si>
    <r>
      <t xml:space="preserve">в </t>
    </r>
    <r>
      <rPr>
        <vertAlign val="subscript"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вк и ппк</t>
    </r>
  </si>
  <si>
    <r>
      <rPr>
        <sz val="12"/>
        <rFont val="Times New Roman"/>
        <family val="1"/>
      </rPr>
      <t>Топлина на горивата</t>
    </r>
    <r>
      <rPr>
        <sz val="10"/>
        <rFont val="Times New Roman"/>
        <family val="1"/>
      </rPr>
      <t xml:space="preserve"> за производство и </t>
    </r>
    <r>
      <rPr>
        <sz val="12"/>
        <rFont val="Times New Roman"/>
        <family val="1"/>
      </rPr>
      <t>натурални количества</t>
    </r>
  </si>
  <si>
    <t>6.1.</t>
  </si>
  <si>
    <t>6.2.</t>
  </si>
  <si>
    <t>Количество продадени емисии парникови газове (СО2)</t>
  </si>
  <si>
    <t>Средна цена на закупени емисии парникови газове (СО2)</t>
  </si>
  <si>
    <r>
      <t>Q а</t>
    </r>
    <r>
      <rPr>
        <vertAlign val="subscript"/>
        <sz val="10"/>
        <rFont val="Times New Roman"/>
        <family val="1"/>
      </rPr>
      <t xml:space="preserve"> пр.г.</t>
    </r>
  </si>
  <si>
    <t>Топлинна енергия за собствено потребление</t>
  </si>
  <si>
    <t>7.1.</t>
  </si>
  <si>
    <t>7.2.</t>
  </si>
  <si>
    <t>7.3.</t>
  </si>
  <si>
    <t>9.1.</t>
  </si>
  <si>
    <t>9.2.</t>
  </si>
  <si>
    <t>9.3.</t>
  </si>
  <si>
    <t>9.4.</t>
  </si>
  <si>
    <t>9.5.</t>
  </si>
  <si>
    <t>18.1.</t>
  </si>
  <si>
    <t>18.2.</t>
  </si>
  <si>
    <t>1.2.1</t>
  </si>
  <si>
    <t>1.2.2</t>
  </si>
  <si>
    <t>1.2.3</t>
  </si>
  <si>
    <t>1.2.4</t>
  </si>
  <si>
    <t>1.5</t>
  </si>
  <si>
    <t>Акциз на пр. газ за комб. производство</t>
  </si>
  <si>
    <t>Акциз на природен газ за ВК§ППК</t>
  </si>
  <si>
    <t>Акциз на природния газ ОБЩО в т.ч.:</t>
  </si>
  <si>
    <t>Акциз на въглища за производство на топлинна енергия ОБЩО, в т.ч.:</t>
  </si>
  <si>
    <t>Разходи за гориво за производство на топлинна енергия (ВК§ППК), в т.ч. за:</t>
  </si>
  <si>
    <t>Разходи за гориво за комбирино производство на енергия, в т.ч. за:</t>
  </si>
  <si>
    <t>Акциз на въглища за производство на топлинна енергия в инсталации за КП</t>
  </si>
  <si>
    <t>Акциз на въглища за производство на топлинна енергия във ВК§ППК</t>
  </si>
  <si>
    <t>Необходими приходи в преноса на топлинна енергия с горща вода</t>
  </si>
  <si>
    <t>Цена за пренос на топлинна енергия с гореща вода (за пренос)</t>
  </si>
  <si>
    <t>Променливи Разходи в преноса на  топлинна енергия с горща вода</t>
  </si>
  <si>
    <r>
      <t xml:space="preserve">След попълването, </t>
    </r>
    <r>
      <rPr>
        <b/>
        <u val="single"/>
        <sz val="10"/>
        <rFont val="Times New Roman"/>
        <family val="1"/>
      </rPr>
      <t>сменете името на файла</t>
    </r>
    <r>
      <rPr>
        <sz val="10"/>
        <rFont val="Times New Roman"/>
        <family val="1"/>
      </rPr>
      <t>, което да съдържа името на Вашето дружество и поредността на ценовия Ви период и го запишети.</t>
    </r>
  </si>
  <si>
    <r>
      <t>СРУГ от комбинирано производство :</t>
    </r>
    <r>
      <rPr>
        <b/>
        <sz val="11"/>
        <color indexed="12"/>
        <rFont val="Times New Roman"/>
        <family val="1"/>
      </rPr>
      <t xml:space="preserve">                               за електрическа енергия</t>
    </r>
  </si>
  <si>
    <r>
      <t xml:space="preserve">Отпусната топлинна енергия от централата </t>
    </r>
    <r>
      <rPr>
        <sz val="10"/>
        <color indexed="10"/>
        <rFont val="Times New Roman"/>
        <family val="1"/>
      </rPr>
      <t xml:space="preserve">(към преноса, собствено потребление и потребители) </t>
    </r>
  </si>
  <si>
    <t xml:space="preserve">гореща вода (към преноса, собствено потребление и потребители) </t>
  </si>
  <si>
    <t xml:space="preserve">водна пара (към преноса, собствено потребление и потребители) </t>
  </si>
  <si>
    <r>
      <t xml:space="preserve">СРУГ :                                                             </t>
    </r>
    <r>
      <rPr>
        <b/>
        <sz val="12"/>
        <color indexed="12"/>
        <rFont val="Times New Roman"/>
        <family val="1"/>
      </rPr>
      <t>за електрическа енергия</t>
    </r>
  </si>
  <si>
    <t xml:space="preserve">Отпусната топлинна енергия от съоръженията ОБЩО </t>
  </si>
  <si>
    <t>Продадена електрическа енергия и за собствено потребление, в т.ч.:</t>
  </si>
  <si>
    <r>
      <rPr>
        <b/>
        <u val="single"/>
        <sz val="12"/>
        <color indexed="12"/>
        <rFont val="Times New Roman"/>
        <family val="1"/>
      </rPr>
      <t>н</t>
    </r>
    <r>
      <rPr>
        <sz val="12"/>
        <color indexed="12"/>
        <rFont val="Times New Roman"/>
        <family val="1"/>
      </rPr>
      <t xml:space="preserve">екомбинирана електрическа енергия гарантираща </t>
    </r>
    <r>
      <rPr>
        <sz val="10"/>
        <color indexed="12"/>
        <rFont val="Times New Roman"/>
        <family val="1"/>
      </rPr>
      <t>надежност на експлоатация</t>
    </r>
  </si>
  <si>
    <t>Необходими приходи от топлинна енергия след добавка на ел. ен.</t>
  </si>
  <si>
    <t>Приходи от топлинна енергия с гореща вода</t>
  </si>
  <si>
    <t>Признати годишни разходи в преноса на топлинна енергия с водна пара</t>
  </si>
  <si>
    <t>Признати годишни разходи в преноса на топлинна енергия с гореща вода</t>
  </si>
  <si>
    <t>Променливи Разходи в преноса на  топлинна енергия с водна пара</t>
  </si>
  <si>
    <t>Q реализация (продажба и собствено потребление)</t>
  </si>
  <si>
    <r>
      <t xml:space="preserve">Q </t>
    </r>
    <r>
      <rPr>
        <sz val="8"/>
        <rFont val="Times New Roman"/>
        <family val="1"/>
      </rPr>
      <t>произ. от ВК§ППК</t>
    </r>
  </si>
  <si>
    <t>Гориво за ВК§ППК</t>
  </si>
  <si>
    <t>Гориво за ВК</t>
  </si>
  <si>
    <t>Гориво за ППК</t>
  </si>
  <si>
    <t>3.3.</t>
  </si>
  <si>
    <t>3.5.</t>
  </si>
  <si>
    <t>3.6.</t>
  </si>
  <si>
    <t>3.7.</t>
  </si>
  <si>
    <t>3.9.</t>
  </si>
  <si>
    <t>4.3.</t>
  </si>
  <si>
    <t>4.4.</t>
  </si>
  <si>
    <t>4.5.</t>
  </si>
  <si>
    <t>4.6.</t>
  </si>
  <si>
    <t>4.7.</t>
  </si>
  <si>
    <t>ИНСТАЛИРАНИ ПРОМИШЛИНИ ПАРНИ КОТЛИ (ППК) В ЕКСПЛОАТАЦИЯ</t>
  </si>
  <si>
    <t>Номинален разход водна пара</t>
  </si>
  <si>
    <t>Номинално налягане водна пара</t>
  </si>
  <si>
    <t>ata</t>
  </si>
  <si>
    <t>РАЗДЕЛНО ПРОИЗВОДСТВО НА ТОПЛИННА ЕНЕРГИЯ С ТОПЛОНОСИТЕЛ  ГОРЕЩА ВОДА</t>
  </si>
  <si>
    <t>РАЗДЕЛНО ПРОИЗВОДСТВО НА ТОПЛИННА ЕНЕРГИЯ С ТОПЛОНОСИТЕЛ  ВОДНА ПАРА</t>
  </si>
  <si>
    <t>ППК-1</t>
  </si>
  <si>
    <t>ППК-2</t>
  </si>
  <si>
    <t>ППК-3</t>
  </si>
  <si>
    <t>ППК-4</t>
  </si>
  <si>
    <t>ППК-5</t>
  </si>
  <si>
    <t>ППК-6</t>
  </si>
  <si>
    <t>ППК-7</t>
  </si>
  <si>
    <t>Промишлени парни котли (ППК)</t>
  </si>
  <si>
    <t>ВК-8</t>
  </si>
  <si>
    <t>ППК-8</t>
  </si>
  <si>
    <t>Парогенератори</t>
  </si>
  <si>
    <t>ПГ-1</t>
  </si>
  <si>
    <t>ПГ-2</t>
  </si>
  <si>
    <t>ПГ-3</t>
  </si>
  <si>
    <t>ПГ-4</t>
  </si>
  <si>
    <t>ПГ-5</t>
  </si>
  <si>
    <t>ПГ-6</t>
  </si>
  <si>
    <t>Тип</t>
  </si>
  <si>
    <t>Разход пара</t>
  </si>
  <si>
    <t>Енталпия пара</t>
  </si>
  <si>
    <t>Енталпия пит.вода</t>
  </si>
  <si>
    <t>Турбогенератори</t>
  </si>
  <si>
    <t>ТГ-1</t>
  </si>
  <si>
    <t>ТГ-2</t>
  </si>
  <si>
    <t>ТГ-3</t>
  </si>
  <si>
    <t>ТГ-4</t>
  </si>
  <si>
    <t>ТГ-5</t>
  </si>
  <si>
    <t>ТГ-6</t>
  </si>
  <si>
    <t>kcal/kWh</t>
  </si>
  <si>
    <t>ЕНЕРГИИНИ ПАРОГЕНЕРАТОРИ И ТУРБОГЕНЕРАТОРИ</t>
  </si>
  <si>
    <t>ПГ-7</t>
  </si>
  <si>
    <t>ТГ-7</t>
  </si>
  <si>
    <t>3.4.</t>
  </si>
  <si>
    <t>СПЕЦИФИКАЦИЯ</t>
  </si>
  <si>
    <t>ИНСТАЛАЦИИ ЗА КОМБИНИРАНО ПРОИЗВОДСТВО НА ЕЛЕКТРИЧЕСКА И ТОПЛИННА ЕНЕРГИЯ</t>
  </si>
  <si>
    <t>16.1.</t>
  </si>
  <si>
    <t>16.2.</t>
  </si>
  <si>
    <t>18.3.</t>
  </si>
  <si>
    <t>18.4.</t>
  </si>
  <si>
    <t>18.5.</t>
  </si>
  <si>
    <t>24.1.</t>
  </si>
  <si>
    <t>24.2.</t>
  </si>
  <si>
    <t>24.3.</t>
  </si>
  <si>
    <t>26.1.</t>
  </si>
  <si>
    <t>26.2.</t>
  </si>
  <si>
    <t>26.3.</t>
  </si>
  <si>
    <t>26.4.</t>
  </si>
  <si>
    <t>26.5.</t>
  </si>
  <si>
    <t>27.1.</t>
  </si>
  <si>
    <t>27.2.</t>
  </si>
  <si>
    <t>27.3.</t>
  </si>
  <si>
    <t>27.4.</t>
  </si>
  <si>
    <t>27.5.</t>
  </si>
  <si>
    <t>23.2.</t>
  </si>
  <si>
    <t>23.1.</t>
  </si>
  <si>
    <t>23.3.</t>
  </si>
  <si>
    <r>
      <t xml:space="preserve">Произведена </t>
    </r>
    <r>
      <rPr>
        <b/>
        <u val="single"/>
        <sz val="10"/>
        <color indexed="12"/>
        <rFont val="Times New Roman"/>
        <family val="1"/>
      </rPr>
      <t>н</t>
    </r>
    <r>
      <rPr>
        <sz val="10"/>
        <color indexed="12"/>
        <rFont val="Times New Roman"/>
        <family val="1"/>
      </rPr>
      <t>екомбинирана електрическа енергия гарантираща надежност на експлоатация</t>
    </r>
  </si>
  <si>
    <t>28.1.</t>
  </si>
  <si>
    <t>28.2.</t>
  </si>
  <si>
    <t>28.3.</t>
  </si>
  <si>
    <t>28.4.</t>
  </si>
  <si>
    <t>28.5.</t>
  </si>
  <si>
    <t>29.1.</t>
  </si>
  <si>
    <t>29.2.</t>
  </si>
  <si>
    <t>29.3.</t>
  </si>
  <si>
    <t>29.4.</t>
  </si>
  <si>
    <t>29.5.</t>
  </si>
  <si>
    <t>34.1.</t>
  </si>
  <si>
    <t>34.2.</t>
  </si>
  <si>
    <t>34.3.</t>
  </si>
  <si>
    <t>34.4.</t>
  </si>
  <si>
    <t>37.1.</t>
  </si>
  <si>
    <t>37.2.</t>
  </si>
  <si>
    <t>38.1.</t>
  </si>
  <si>
    <t>38.2.</t>
  </si>
  <si>
    <t>38.3.</t>
  </si>
  <si>
    <t>38.4.</t>
  </si>
  <si>
    <t>40.1.</t>
  </si>
  <si>
    <t>40.2.</t>
  </si>
  <si>
    <t>40.3.</t>
  </si>
  <si>
    <t>40.4.</t>
  </si>
  <si>
    <t>40.5.</t>
  </si>
  <si>
    <t>Допълнително гориво за КУ</t>
  </si>
  <si>
    <t>ЕПГ-4</t>
  </si>
  <si>
    <t>КУ-1</t>
  </si>
  <si>
    <t>КУ-2</t>
  </si>
  <si>
    <t>Котел утилизатор (КУ)</t>
  </si>
  <si>
    <t>3.8.</t>
  </si>
  <si>
    <t>ЕПГ на общ колектор с КУ</t>
  </si>
  <si>
    <t>ТГ директно към КУ част от ПГЦ</t>
  </si>
  <si>
    <t>ТГ на общ колектор (КУ и ПГ)</t>
  </si>
  <si>
    <t>6.3.</t>
  </si>
  <si>
    <t>7.4.</t>
  </si>
  <si>
    <t>7.5.</t>
  </si>
  <si>
    <t>Топлинна ефективност на КУ, кпд</t>
  </si>
  <si>
    <t>ЕНЕРГИЙНИ ПАРОГЕНЕРАТОРИ И ТУРБОГЕНЕРАТОРИ (ЕПГ и ТГ)</t>
  </si>
  <si>
    <t>Ном. Електрическа мощност</t>
  </si>
  <si>
    <t>Ном. Електрическа мощност ГТ</t>
  </si>
  <si>
    <t>Ном. Електрическа мощност на ПТ(ТГ)</t>
  </si>
  <si>
    <r>
      <t>q</t>
    </r>
    <r>
      <rPr>
        <vertAlign val="subscript"/>
        <sz val="10"/>
        <rFont val="Times New Roman"/>
        <family val="1"/>
      </rPr>
      <t>ел</t>
    </r>
  </si>
  <si>
    <t>7.6.</t>
  </si>
  <si>
    <t>Горивa ОБЩО за ТЕЦ</t>
  </si>
  <si>
    <t>топлина на горивата</t>
  </si>
  <si>
    <t>от Г на ДВГ, ГТ и ТГ</t>
  </si>
  <si>
    <t>Е производство, в т.ч.:</t>
  </si>
  <si>
    <t>комбинирана ел. ен.</t>
  </si>
  <si>
    <t>некомбинирана ел. ен.</t>
  </si>
  <si>
    <t>продажба в т. ч. :</t>
  </si>
  <si>
    <t>собств. потребление</t>
  </si>
  <si>
    <t>Общо ВК§ППК</t>
  </si>
  <si>
    <t>Разход на остра пара на турбините</t>
  </si>
  <si>
    <t>Енталпия на остра пара на турбините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</si>
  <si>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</si>
  <si>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</si>
  <si>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</si>
  <si>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</si>
  <si>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</si>
  <si>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</si>
  <si>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ВОДОГРЕЙНИ КОТЛИ (ВК) В ЕКСПЛОАТАЦИЯ</t>
  </si>
  <si>
    <t>Работни часове</t>
  </si>
  <si>
    <t>h</t>
  </si>
  <si>
    <t>Произведена Топлинна енергия</t>
  </si>
  <si>
    <t>ПРОМИШЛИНИ ПАРНИ КОТЛИ (ППК) В ЕКСПЛОАТАЦИЯ</t>
  </si>
  <si>
    <t>2.6.</t>
  </si>
  <si>
    <t>Налягане на водна пара</t>
  </si>
  <si>
    <t>Разход на водна пара</t>
  </si>
  <si>
    <t>Среден разход на водна пара</t>
  </si>
  <si>
    <t>Топлинна ефективност ВК§ППК</t>
  </si>
  <si>
    <t>РАЗДЕЛНО ПРОИЗВОДСТВО НА ТОПЛИННА ЕНЕРГИЯ</t>
  </si>
  <si>
    <t>Приложение № 8</t>
  </si>
  <si>
    <t>Приложение № 7</t>
  </si>
  <si>
    <t>Приложение № 9</t>
  </si>
  <si>
    <t>РЕГУЛАТОРНА БАЗА НА АКТИВИТЕ ОБЩО</t>
  </si>
  <si>
    <t>Σ</t>
  </si>
  <si>
    <t>Остатък главница              (хил. лв)</t>
  </si>
  <si>
    <t>Основни съоръжения в работа всеки месец</t>
  </si>
  <si>
    <t>ВК и ППК</t>
  </si>
  <si>
    <t>ПГ</t>
  </si>
  <si>
    <t>ТГ, ДВГ, ГТ и ТГку</t>
  </si>
  <si>
    <t>ТГку-1</t>
  </si>
  <si>
    <t>Компонента от ТР в цената за пренос на топлинна енергия с гореща вода</t>
  </si>
  <si>
    <t>Компонента от ТР в цена на топлинна енергия с водна пара (за пренос)</t>
  </si>
  <si>
    <t>Работещи  по преноса на топлинна енергия (преносно предприятие)</t>
  </si>
  <si>
    <t>бр.</t>
  </si>
  <si>
    <t>ТЕХНИЧЕСКИ ПОКАЗАТЕЛИ</t>
  </si>
  <si>
    <t>Работещи  в производството на топлинна и електрическа енергия (топлоизточник)</t>
  </si>
  <si>
    <t>Работещи  ОБЩО  (производство на ЕЕ и/или ТЕ и пренос на топлинна енергия)</t>
  </si>
  <si>
    <t>Работещи  в преноса на топлинна енергия (преносно предприятие)</t>
  </si>
  <si>
    <t>Температура на питателна (вхадяща) вода</t>
  </si>
  <si>
    <t>° C</t>
  </si>
  <si>
    <t>Δh</t>
  </si>
  <si>
    <t>Разлика между енталпиите на водната пара и питателната вода</t>
  </si>
  <si>
    <t>1.1.5.</t>
  </si>
  <si>
    <t>1.2.5.</t>
  </si>
  <si>
    <r>
      <t>Емисии на парникови газове (СО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за цялото производство ТОТАЛ</t>
    </r>
  </si>
  <si>
    <r>
      <t>Емисии от производството на електрическа енергия (СО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</si>
  <si>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Емисии от производството на топлинна енергия (СО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</si>
  <si>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η </t>
    </r>
    <r>
      <rPr>
        <vertAlign val="subscript"/>
        <sz val="10"/>
        <rFont val="Times New Roman"/>
        <family val="1"/>
      </rPr>
      <t>тп</t>
    </r>
  </si>
  <si>
    <t>Референтна топлинна ефективност</t>
  </si>
  <si>
    <t>Референтна електрическа ефективност</t>
  </si>
  <si>
    <r>
      <t>Q горива</t>
    </r>
    <r>
      <rPr>
        <vertAlign val="superscript"/>
        <sz val="10"/>
        <rFont val="Times New Roman"/>
        <family val="1"/>
      </rPr>
      <t>ен.ч.</t>
    </r>
  </si>
  <si>
    <r>
      <t>Q горива</t>
    </r>
    <r>
      <rPr>
        <vertAlign val="superscript"/>
        <sz val="10"/>
        <rFont val="Times New Roman"/>
        <family val="1"/>
      </rPr>
      <t>впч.</t>
    </r>
  </si>
  <si>
    <t>Разходи, пряко свързани с регулираните дейности по ЗЕ</t>
  </si>
  <si>
    <t>33.1.</t>
  </si>
  <si>
    <t>33.2.</t>
  </si>
  <si>
    <r>
      <t xml:space="preserve">η </t>
    </r>
    <r>
      <rPr>
        <vertAlign val="subscript"/>
        <sz val="10"/>
        <color indexed="18"/>
        <rFont val="Times New Roman"/>
        <family val="1"/>
      </rPr>
      <t>общо</t>
    </r>
  </si>
  <si>
    <t>Необходими Годишни Приходи за производство на Електрическа енергия</t>
  </si>
  <si>
    <t>ВЪЗВРЪЩАЕМОСТ НА КАПИТАЛА ЗА  Топлинна енергия</t>
  </si>
  <si>
    <t>Признати Годишни Разходи за производство на Топлинна енергия</t>
  </si>
  <si>
    <t>Условно-Постоянни Разходи за производство на Топлинна енергия</t>
  </si>
  <si>
    <t>Променливи Разходи за производство на Топлинна енергия</t>
  </si>
  <si>
    <r>
      <t>Q пр</t>
    </r>
    <r>
      <rPr>
        <vertAlign val="superscript"/>
        <sz val="10"/>
        <rFont val="Times New Roman"/>
        <family val="1"/>
      </rPr>
      <t>ен.ч.</t>
    </r>
  </si>
  <si>
    <r>
      <t>Q пр</t>
    </r>
    <r>
      <rPr>
        <vertAlign val="superscript"/>
        <sz val="10"/>
        <rFont val="Times New Roman"/>
        <family val="1"/>
      </rPr>
      <t>впч.</t>
    </r>
  </si>
  <si>
    <r>
      <t>Qпг</t>
    </r>
    <r>
      <rPr>
        <vertAlign val="superscript"/>
        <sz val="10"/>
        <rFont val="Times New Roman"/>
        <family val="1"/>
      </rPr>
      <t>др</t>
    </r>
  </si>
  <si>
    <r>
      <t>Qм</t>
    </r>
    <r>
      <rPr>
        <vertAlign val="superscript"/>
        <sz val="10"/>
        <rFont val="Times New Roman"/>
        <family val="1"/>
      </rPr>
      <t>др</t>
    </r>
  </si>
  <si>
    <r>
      <t>Qг</t>
    </r>
    <r>
      <rPr>
        <vertAlign val="superscript"/>
        <sz val="10"/>
        <rFont val="Times New Roman"/>
        <family val="1"/>
      </rPr>
      <t>др</t>
    </r>
  </si>
  <si>
    <r>
      <t>Qв</t>
    </r>
    <r>
      <rPr>
        <vertAlign val="superscript"/>
        <sz val="10"/>
        <rFont val="Times New Roman"/>
        <family val="1"/>
      </rPr>
      <t>др</t>
    </r>
  </si>
  <si>
    <r>
      <t>Qвеи</t>
    </r>
    <r>
      <rPr>
        <vertAlign val="superscript"/>
        <sz val="10"/>
        <rFont val="Times New Roman"/>
        <family val="1"/>
      </rPr>
      <t>др</t>
    </r>
  </si>
  <si>
    <t>Максимален топлинен товар</t>
  </si>
  <si>
    <r>
      <t>η</t>
    </r>
    <r>
      <rPr>
        <vertAlign val="subscript"/>
        <sz val="10"/>
        <color indexed="18"/>
        <rFont val="Times New Roman"/>
        <family val="1"/>
      </rPr>
      <t>реф.т</t>
    </r>
  </si>
  <si>
    <r>
      <t>η</t>
    </r>
    <r>
      <rPr>
        <vertAlign val="subscript"/>
        <sz val="10"/>
        <color indexed="18"/>
        <rFont val="Times New Roman"/>
        <family val="1"/>
      </rPr>
      <t>реф.е</t>
    </r>
  </si>
  <si>
    <r>
      <t>η</t>
    </r>
    <r>
      <rPr>
        <vertAlign val="subscript"/>
        <sz val="10"/>
        <color indexed="18"/>
        <rFont val="Times New Roman"/>
        <family val="1"/>
      </rPr>
      <t>т</t>
    </r>
  </si>
  <si>
    <r>
      <t>η</t>
    </r>
    <r>
      <rPr>
        <vertAlign val="subscript"/>
        <sz val="10"/>
        <color indexed="18"/>
        <rFont val="Times New Roman"/>
        <family val="1"/>
      </rPr>
      <t>е</t>
    </r>
  </si>
  <si>
    <t>Q отпуснато от източниците</t>
  </si>
  <si>
    <t>Q произведена (от съоръженията за комб. и разделно произв.)</t>
  </si>
  <si>
    <t>ПРОГНОЗА за НРП</t>
  </si>
  <si>
    <t>Средна цена на продадени емисии парникови газове (СО2)</t>
  </si>
  <si>
    <t>Справка за Привлечен капитал към 31.12.2015 г.</t>
  </si>
  <si>
    <t>ОТЧЕТ към 31.12.2016 г.</t>
  </si>
  <si>
    <t>Към 31.12.2016 г.</t>
  </si>
  <si>
    <t>ОТЧЕТ към 31.12.2017 г.</t>
  </si>
  <si>
    <t>Към 31.12.2017 г.</t>
  </si>
  <si>
    <t>Коефициент на разпределение на горивото в производството</t>
  </si>
  <si>
    <r>
      <t>K ел.</t>
    </r>
    <r>
      <rPr>
        <b/>
        <vertAlign val="superscript"/>
        <sz val="10"/>
        <color indexed="8"/>
        <rFont val="Courier New"/>
        <family val="3"/>
      </rPr>
      <t>КПД</t>
    </r>
  </si>
  <si>
    <t xml:space="preserve">Топлинна енергия за електрическа енергия </t>
  </si>
  <si>
    <t xml:space="preserve">Коефициент за разделяне на горивото в централата </t>
  </si>
  <si>
    <t>Коефициент на разпределение на разходите в производството</t>
  </si>
  <si>
    <r>
      <t>K разх.</t>
    </r>
    <r>
      <rPr>
        <b/>
        <vertAlign val="superscript"/>
        <sz val="10"/>
        <rFont val="Times New Roman"/>
        <family val="1"/>
      </rPr>
      <t>произв.</t>
    </r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</si>
</sst>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&quot;ПЕРИОД-&quot;yyyy\ &quot;г.&quot;"/>
    <numFmt numFmtId="169" formatCode="yyyy\ &quot;г.&quot;"/>
    <numFmt numFmtId="170" formatCode="#,##0.0"/>
    <numFmt numFmtId="171" formatCode="0.0000"/>
    <numFmt numFmtId="172" formatCode="#,##0.000"/>
    <numFmt numFmtId="173" formatCode="#,##0.0000"/>
    <numFmt numFmtId="174" formatCode="0.0%"/>
    <numFmt numFmtId="175" formatCode="#,##0.00_ ;[Red]\-#,##0.00\ "/>
    <numFmt numFmtId="176" formatCode="#,##0_ ;[Red]\-#,##0\ "/>
    <numFmt numFmtId="177" formatCode="&quot;ОБЩО &quot;yyyy\ &quot;г.&quot;"/>
    <numFmt numFmtId="178" formatCode="0_)"/>
    <numFmt numFmtId="179" formatCode="&quot;СПРАВКА № &quot;0"/>
    <numFmt numFmtId="180" formatCode="&quot;ОТЧЕТ &quot;0&quot; г.&quot;"/>
    <numFmt numFmtId="181" formatCode="0&quot; г.&quot;"/>
    <numFmt numFmtId="182" formatCode="&quot;Към 31.12.&quot;0&quot; г.&quot;"/>
    <numFmt numFmtId="183" formatCode="&quot;Прогноза за &quot;0&quot; г.&quot;"/>
    <numFmt numFmtId="184" formatCode="&quot;РЕГУЛАТОРНА БАЗА НА АКТИВИТЕ ЗА ЕЛЕКТРИЧЕСКА И ТОПЛИННА ЕНЕРГИЯ  -  ( &quot;0.00%&quot; за ЕЕ )&quot;"/>
    <numFmt numFmtId="185" formatCode="&quot;Привлечен капитал  към 31.12.&quot;0&quot; г., в т. ч.&quot;"/>
    <numFmt numFmtId="186" formatCode="&quot;Справка за Привлечен капитал  към 31.12.&quot;0&quot; г.&quot;"/>
    <numFmt numFmtId="187" formatCode="&quot;РЕГУЛАТОРНА БАЗА НА АКТИВИТЕ ЗА ПРОИЗВОДСТВО И ПРЕНОС  -  ( &quot;0.00%&quot; за ПРОИЗВОДСТВО )&quot;"/>
    <numFmt numFmtId="188" formatCode="&quot;ДМА  към 31.12.&quot;0&quot; г.&quot;"/>
    <numFmt numFmtId="189" formatCode="&quot;РЕГУЛАТОРНА БАЗА НА АКТИВИТЕ ЗА КОМБИНИРАНО И РАЗДЕЛНО ПРОИЗВОДСТВО  -  ( &quot;0.00%&quot; за КОМБИНИРАНО ПРОИЗВОДСТВО )&quot;"/>
    <numFmt numFmtId="190" formatCode="&quot;при &quot;#,##0&quot; kcal/knm3&quot;"/>
    <numFmt numFmtId="191" formatCode="&quot;при &quot;#,##0&quot; kcal/kg&quot;"/>
    <numFmt numFmtId="192" formatCode="&quot;при &quot;#,##0&quot; kcal/kg (knm3)&quot;"/>
    <numFmt numFmtId="193" formatCode="mmmm"/>
    <numFmt numFmtId="194" formatCode="&quot;начален м. &quot;0"/>
    <numFmt numFmtId="195" formatCode="&quot;ПРОГНОЗА към &quot;0.0000&quot; г.&quot;"/>
    <numFmt numFmtId="196" formatCode="&quot;ОТЧЕТ към 31.12.&quot;0&quot; г.&quot;"/>
    <numFmt numFmtId="197" formatCode="&quot;ЗА &quot;0&quot; г.&quot;"/>
    <numFmt numFmtId="198" formatCode="&quot;към &quot;0.0000&quot; г.&quot;"/>
    <numFmt numFmtId="199" formatCode="&quot;Акцизна топлина на горивото природен газ (при акциз в размер на &quot;0.00&quot; лв./GJ)&quot;"/>
    <numFmt numFmtId="200" formatCode="&quot;Акцизна топлина на горивото пр. газ за ТЕ-РП (при акциз в размер на &quot;0.00&quot; лв./GJ)&quot;"/>
    <numFmt numFmtId="201" formatCode="&quot;Акцизна топлина на горивото въглища за ТЕ-РП (при акциз в размер на &quot;0.00&quot; лв./GJ)&quot;"/>
    <numFmt numFmtId="202" formatCode="&quot;Акцизна топлина на горивото въглища за ТЕ-КП (при акциз в размер на &quot;0.00&quot; лв./GJ)&quot;"/>
    <numFmt numFmtId="203" formatCode="&quot;Акцизна топлина на горивото природен газ общо (при акциз в размер на &quot;0.00&quot; лв./GJ)&quot;"/>
    <numFmt numFmtId="204" formatCode="&quot;Акцизна топлина на горивото въглища за ТЕ общо (при акциз в размер на &quot;0.00&quot; лв./GJ)&quot;"/>
    <numFmt numFmtId="205" formatCode="&quot;Цена за комбинирана електрическа енергия (за изгр. мощност преди изм. ЗЕ &quot;0&quot; г.)&quot;"/>
    <numFmt numFmtId="206" formatCode="&quot;НАЛИЧНОСТ КЪМ &quot;0.0000&quot; г.&quot;"/>
    <numFmt numFmtId="207" formatCode="&quot;ПРОГНОЗА &quot;yyyy\ &quot;г.&quot;"/>
    <numFmt numFmtId="208" formatCode="&quot; * &quot;0&quot; =&quot;"/>
    <numFmt numFmtId="209" formatCode="&quot;- &quot;#,##0&quot;) /&quot;"/>
    <numFmt numFmtId="210" formatCode="&quot;= (&quot;#,##0&quot; *&quot;"/>
    <numFmt numFmtId="211" formatCode="&quot;ДВИГАТЕЛИ С ВЪТРЕШНО ГОРЕНЕ (ДВГ) (qe = &quot;#,##0&quot; kcal/kWh)&quot;"/>
    <numFmt numFmtId="212" formatCode="&quot;ГТ с КУ (qe = &quot;#,##0&quot; kcal/kWh)&quot;"/>
    <numFmt numFmtId="213" formatCode="&quot;ГТ с КУ и ПТ (ПГЦ) (qe = &quot;#,##0&quot; kcal/kWh)&quot;"/>
    <numFmt numFmtId="214" formatCode="&quot;ОТЧЕТ за &quot;0&quot; г.&quot;"/>
    <numFmt numFmtId="215" formatCode="&quot;ПРОГНОЗА от &quot;0.0000&quot; г.&quot;"/>
    <numFmt numFmtId="216" formatCode="&quot;ПРОГНОЗА &quot;0.0000&quot; г.&quot;"/>
    <numFmt numFmtId="217" formatCode="&quot;Справка за Привлечен капитал  към &quot;0.0000&quot; г.&quot;"/>
    <numFmt numFmtId="218" formatCode="&quot;Към &quot;0.0000&quot; г.&quot;"/>
    <numFmt numFmtId="219" formatCode="&quot;ПРОГНОЗНИ ПАРАМЕТРИ &quot;0.0000&quot; г.&quot;"/>
    <numFmt numFmtId="220" formatCode="&quot;КОЛИЧЕСТВЕНИ ПОКАЗАТЕЛИ ЗА ПРОИЗВОДИТЕЛЯ - &quot;0.0000&quot; г.&quot;"/>
    <numFmt numFmtId="221" formatCode="&quot;ПОКАЗАТЕЛИ ЗА ПРОИЗВОДИТЕЛЯ  И ПРЕНОСА - &quot;0.0000&quot; г.&quot;"/>
    <numFmt numFmtId="222" formatCode="&quot;от &quot;0.0000&quot; г.&quot;"/>
    <numFmt numFmtId="223" formatCode="&quot;ПРОГНОЗНИ ПАРАМЕТРИ НРП от &quot;0.0000&quot; г.&quot;"/>
    <numFmt numFmtId="224" formatCode="&quot;ПРОГНОЗА за НРП от &quot;0.0000&quot; г.&quot;"/>
  </numFmts>
  <fonts count="1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SAfon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7"/>
      <name val="Times New Roman"/>
      <family val="1"/>
    </font>
    <font>
      <b/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b/>
      <sz val="12"/>
      <color indexed="10"/>
      <name val="Times New Roman"/>
      <family val="1"/>
    </font>
    <font>
      <b/>
      <sz val="10.5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6"/>
      <color indexed="30"/>
      <name val="Times New Roman"/>
      <family val="1"/>
    </font>
    <font>
      <sz val="10"/>
      <color indexed="30"/>
      <name val="SAfon"/>
      <family val="2"/>
    </font>
    <font>
      <sz val="10"/>
      <color indexed="10"/>
      <name val="SAfon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60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8"/>
      <name val="Courier New"/>
      <family val="3"/>
    </font>
    <font>
      <b/>
      <vertAlign val="superscript"/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33CC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33CC"/>
      <name val="Times New Roman"/>
      <family val="1"/>
    </font>
    <font>
      <sz val="10"/>
      <color rgb="FF0033CC"/>
      <name val="Times New Roman"/>
      <family val="1"/>
    </font>
    <font>
      <sz val="16"/>
      <color rgb="FF0033CC"/>
      <name val="Times New Roman"/>
      <family val="1"/>
    </font>
    <font>
      <sz val="10"/>
      <color rgb="FF0033CC"/>
      <name val="SAfon"/>
      <family val="2"/>
    </font>
    <font>
      <sz val="10"/>
      <color rgb="FFFF0000"/>
      <name val="SAfo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FF0000"/>
      <name val="Times New Roman"/>
      <family val="1"/>
    </font>
    <font>
      <b/>
      <i/>
      <sz val="12"/>
      <color rgb="FF0000FF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9" tint="-0.4999699890613556"/>
      <name val="Times New Roman"/>
      <family val="1"/>
    </font>
    <font>
      <b/>
      <u val="single"/>
      <sz val="9"/>
      <color rgb="FFFF0000"/>
      <name val="Times New Roman"/>
      <family val="1"/>
    </font>
    <font>
      <sz val="10"/>
      <color theme="9" tint="-0.4999699890613556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66"/>
      <name val="Times New Roman"/>
      <family val="1"/>
    </font>
    <font>
      <b/>
      <sz val="10"/>
      <color rgb="FF000000"/>
      <name val="Courier New"/>
      <family val="3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178" fontId="3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68" fontId="5" fillId="0" borderId="10" xfId="0" applyNumberFormat="1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177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 locked="0"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8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top" wrapText="1"/>
      <protection locked="0"/>
    </xf>
    <xf numFmtId="3" fontId="12" fillId="0" borderId="10" xfId="0" applyNumberFormat="1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3" fontId="5" fillId="0" borderId="0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12" fillId="35" borderId="10" xfId="0" applyFont="1" applyFill="1" applyBorder="1" applyAlignment="1" applyProtection="1">
      <alignment horizontal="center" vertical="top" wrapText="1"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/>
      <protection locked="0"/>
    </xf>
    <xf numFmtId="172" fontId="5" fillId="33" borderId="10" xfId="0" applyNumberFormat="1" applyFont="1" applyFill="1" applyBorder="1" applyAlignment="1" applyProtection="1">
      <alignment horizontal="right"/>
      <protection locked="0"/>
    </xf>
    <xf numFmtId="10" fontId="5" fillId="33" borderId="10" xfId="59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0" xfId="59" applyNumberFormat="1" applyFont="1" applyFill="1" applyBorder="1" applyAlignment="1" applyProtection="1">
      <alignment horizontal="right" vertical="center" wrapText="1"/>
      <protection locked="0"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4" xfId="59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3" fontId="7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10" fontId="5" fillId="33" borderId="10" xfId="5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ont="1" applyFill="1" applyBorder="1" applyAlignment="1" applyProtection="1">
      <alignment horizontal="center"/>
      <protection locked="0"/>
    </xf>
    <xf numFmtId="3" fontId="5" fillId="36" borderId="1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/>
    </xf>
    <xf numFmtId="3" fontId="7" fillId="0" borderId="0" xfId="0" applyNumberFormat="1" applyFont="1" applyBorder="1" applyAlignment="1" applyProtection="1">
      <alignment horizontal="center" vertical="top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5" fillId="32" borderId="17" xfId="0" applyNumberFormat="1" applyFont="1" applyFill="1" applyBorder="1" applyAlignment="1" applyProtection="1">
      <alignment vertical="center" wrapText="1"/>
      <protection locked="0"/>
    </xf>
    <xf numFmtId="192" fontId="15" fillId="32" borderId="17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3" fontId="5" fillId="34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3" fontId="103" fillId="33" borderId="10" xfId="0" applyNumberFormat="1" applyFont="1" applyFill="1" applyBorder="1" applyAlignment="1" applyProtection="1">
      <alignment vertical="center"/>
      <protection locked="0"/>
    </xf>
    <xf numFmtId="171" fontId="18" fillId="0" borderId="10" xfId="0" applyNumberFormat="1" applyFont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 locked="0"/>
    </xf>
    <xf numFmtId="3" fontId="104" fillId="34" borderId="14" xfId="0" applyNumberFormat="1" applyFont="1" applyFill="1" applyBorder="1" applyAlignment="1" applyProtection="1">
      <alignment horizontal="right" vertical="center"/>
      <protection/>
    </xf>
    <xf numFmtId="3" fontId="104" fillId="34" borderId="19" xfId="0" applyNumberFormat="1" applyFont="1" applyFill="1" applyBorder="1" applyAlignment="1" applyProtection="1">
      <alignment horizontal="right" vertical="center"/>
      <protection/>
    </xf>
    <xf numFmtId="3" fontId="105" fillId="34" borderId="10" xfId="0" applyNumberFormat="1" applyFont="1" applyFill="1" applyBorder="1" applyAlignment="1" applyProtection="1">
      <alignment horizontal="right" vertical="center"/>
      <protection/>
    </xf>
    <xf numFmtId="3" fontId="105" fillId="0" borderId="10" xfId="0" applyNumberFormat="1" applyFont="1" applyBorder="1" applyAlignment="1" applyProtection="1">
      <alignment horizontal="right" vertical="center"/>
      <protection/>
    </xf>
    <xf numFmtId="3" fontId="105" fillId="34" borderId="11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/>
      <protection/>
    </xf>
    <xf numFmtId="3" fontId="18" fillId="34" borderId="20" xfId="0" applyNumberFormat="1" applyFont="1" applyFill="1" applyBorder="1" applyAlignment="1" applyProtection="1">
      <alignment horizontal="right" vertical="center"/>
      <protection/>
    </xf>
    <xf numFmtId="3" fontId="18" fillId="34" borderId="21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93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center"/>
      <protection hidden="1"/>
    </xf>
    <xf numFmtId="3" fontId="5" fillId="36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106" fillId="0" borderId="10" xfId="0" applyFont="1" applyBorder="1" applyAlignment="1" applyProtection="1">
      <alignment vertical="top"/>
      <protection hidden="1"/>
    </xf>
    <xf numFmtId="0" fontId="106" fillId="0" borderId="10" xfId="0" applyFont="1" applyBorder="1" applyAlignment="1" applyProtection="1">
      <alignment/>
      <protection hidden="1"/>
    </xf>
    <xf numFmtId="0" fontId="106" fillId="0" borderId="10" xfId="0" applyFont="1" applyBorder="1" applyAlignment="1" applyProtection="1">
      <alignment vertical="center"/>
      <protection hidden="1"/>
    </xf>
    <xf numFmtId="174" fontId="7" fillId="0" borderId="10" xfId="59" applyNumberFormat="1" applyFont="1" applyFill="1" applyBorder="1" applyAlignment="1" applyProtection="1">
      <alignment horizontal="center" vertical="center"/>
      <protection hidden="1"/>
    </xf>
    <xf numFmtId="0" fontId="107" fillId="0" borderId="10" xfId="0" applyFont="1" applyBorder="1" applyAlignment="1" applyProtection="1">
      <alignment/>
      <protection hidden="1"/>
    </xf>
    <xf numFmtId="3" fontId="7" fillId="0" borderId="10" xfId="0" applyNumberFormat="1" applyFont="1" applyBorder="1" applyAlignment="1" applyProtection="1">
      <alignment horizontal="right" vertical="center"/>
      <protection hidden="1"/>
    </xf>
    <xf numFmtId="0" fontId="106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/>
      <protection hidden="1"/>
    </xf>
    <xf numFmtId="194" fontId="5" fillId="32" borderId="10" xfId="0" applyNumberFormat="1" applyFont="1" applyFill="1" applyBorder="1" applyAlignment="1" applyProtection="1">
      <alignment vertical="center"/>
      <protection locked="0"/>
    </xf>
    <xf numFmtId="3" fontId="5" fillId="32" borderId="10" xfId="0" applyNumberFormat="1" applyFont="1" applyFill="1" applyBorder="1" applyAlignment="1" applyProtection="1">
      <alignment horizontal="right" vertical="center"/>
      <protection locked="0"/>
    </xf>
    <xf numFmtId="190" fontId="5" fillId="32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188" fontId="5" fillId="0" borderId="10" xfId="0" applyNumberFormat="1" applyFont="1" applyBorder="1" applyAlignment="1" applyProtection="1">
      <alignment horizontal="left"/>
      <protection hidden="1"/>
    </xf>
    <xf numFmtId="4" fontId="5" fillId="0" borderId="10" xfId="0" applyNumberFormat="1" applyFont="1" applyBorder="1" applyAlignment="1" applyProtection="1">
      <alignment horizontal="right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10" fontId="5" fillId="0" borderId="10" xfId="59" applyNumberFormat="1" applyFont="1" applyBorder="1" applyAlignment="1" applyProtection="1">
      <alignment horizontal="right"/>
      <protection hidden="1"/>
    </xf>
    <xf numFmtId="188" fontId="5" fillId="0" borderId="24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83" fontId="7" fillId="0" borderId="10" xfId="0" applyNumberFormat="1" applyFont="1" applyBorder="1" applyAlignment="1" applyProtection="1">
      <alignment horizontal="center" vertical="center"/>
      <protection hidden="1"/>
    </xf>
    <xf numFmtId="183" fontId="7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72" fontId="5" fillId="0" borderId="10" xfId="0" applyNumberFormat="1" applyFont="1" applyBorder="1" applyAlignment="1" applyProtection="1">
      <alignment horizontal="right" vertical="center"/>
      <protection hidden="1"/>
    </xf>
    <xf numFmtId="10" fontId="5" fillId="0" borderId="10" xfId="59" applyNumberFormat="1" applyFont="1" applyBorder="1" applyAlignment="1" applyProtection="1">
      <alignment horizontal="right" vertical="center"/>
      <protection hidden="1"/>
    </xf>
    <xf numFmtId="10" fontId="5" fillId="0" borderId="10" xfId="59" applyNumberFormat="1" applyFont="1" applyFill="1" applyBorder="1" applyAlignment="1" applyProtection="1">
      <alignment horizontal="right" vertical="center"/>
      <protection hidden="1"/>
    </xf>
    <xf numFmtId="10" fontId="5" fillId="0" borderId="17" xfId="59" applyNumberFormat="1" applyFont="1" applyFill="1" applyBorder="1" applyAlignment="1" applyProtection="1">
      <alignment horizontal="right" vertical="center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168" fontId="5" fillId="0" borderId="10" xfId="0" applyNumberFormat="1" applyFont="1" applyFill="1" applyBorder="1" applyAlignment="1" applyProtection="1">
      <alignment horizontal="center" vertical="center"/>
      <protection hidden="1"/>
    </xf>
    <xf numFmtId="177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3" fontId="7" fillId="0" borderId="12" xfId="0" applyNumberFormat="1" applyFont="1" applyFill="1" applyBorder="1" applyAlignment="1" applyProtection="1">
      <alignment horizontal="center" vertical="center"/>
      <protection hidden="1"/>
    </xf>
    <xf numFmtId="3" fontId="7" fillId="34" borderId="10" xfId="0" applyNumberFormat="1" applyFont="1" applyFill="1" applyBorder="1" applyAlignment="1" applyProtection="1">
      <alignment horizontal="left" vertical="center"/>
      <protection hidden="1"/>
    </xf>
    <xf numFmtId="3" fontId="7" fillId="34" borderId="10" xfId="0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 applyProtection="1">
      <alignment horizontal="right" vertical="center"/>
      <protection hidden="1"/>
    </xf>
    <xf numFmtId="3" fontId="7" fillId="0" borderId="11" xfId="0" applyNumberFormat="1" applyFont="1" applyFill="1" applyBorder="1" applyAlignment="1" applyProtection="1">
      <alignment horizontal="right" vertical="center"/>
      <protection hidden="1"/>
    </xf>
    <xf numFmtId="3" fontId="7" fillId="0" borderId="26" xfId="0" applyNumberFormat="1" applyFont="1" applyFill="1" applyBorder="1" applyAlignment="1" applyProtection="1">
      <alignment horizontal="center" vertical="center"/>
      <protection hidden="1"/>
    </xf>
    <xf numFmtId="3" fontId="7" fillId="34" borderId="17" xfId="0" applyNumberFormat="1" applyFont="1" applyFill="1" applyBorder="1" applyAlignment="1" applyProtection="1">
      <alignment horizontal="left" vertical="center" wrapText="1"/>
      <protection hidden="1"/>
    </xf>
    <xf numFmtId="3" fontId="7" fillId="34" borderId="17" xfId="0" applyNumberFormat="1" applyFont="1" applyFill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right" vertical="center"/>
      <protection hidden="1"/>
    </xf>
    <xf numFmtId="3" fontId="7" fillId="0" borderId="17" xfId="0" applyNumberFormat="1" applyFont="1" applyFill="1" applyBorder="1" applyAlignment="1" applyProtection="1">
      <alignment horizontal="right" vertical="center"/>
      <protection hidden="1"/>
    </xf>
    <xf numFmtId="3" fontId="7" fillId="0" borderId="27" xfId="0" applyNumberFormat="1" applyFont="1" applyFill="1" applyBorder="1" applyAlignment="1" applyProtection="1">
      <alignment horizontal="right" vertical="center"/>
      <protection hidden="1"/>
    </xf>
    <xf numFmtId="3" fontId="7" fillId="34" borderId="10" xfId="0" applyNumberFormat="1" applyFont="1" applyFill="1" applyBorder="1" applyAlignment="1" applyProtection="1">
      <alignment horizontal="left" vertical="center" wrapText="1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Border="1" applyAlignment="1" applyProtection="1">
      <alignment horizontal="right" vertical="center"/>
      <protection hidden="1"/>
    </xf>
    <xf numFmtId="0" fontId="25" fillId="0" borderId="10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 quotePrefix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3" fontId="5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 applyProtection="1">
      <alignment horizontal="right" vertical="center"/>
      <protection hidden="1"/>
    </xf>
    <xf numFmtId="14" fontId="5" fillId="0" borderId="12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3" fontId="5" fillId="34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right"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5" fillId="33" borderId="10" xfId="0" applyFont="1" applyFill="1" applyBorder="1" applyAlignment="1" applyProtection="1">
      <alignment horizontal="right" vertical="center" wrapText="1"/>
      <protection hidden="1"/>
    </xf>
    <xf numFmtId="0" fontId="5" fillId="33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3" fontId="7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34" borderId="12" xfId="0" applyNumberFormat="1" applyFont="1" applyFill="1" applyBorder="1" applyAlignment="1" applyProtection="1">
      <alignment horizontal="center" vertical="center"/>
      <protection hidden="1"/>
    </xf>
    <xf numFmtId="3" fontId="5" fillId="34" borderId="10" xfId="0" applyNumberFormat="1" applyFont="1" applyFill="1" applyBorder="1" applyAlignment="1" applyProtection="1">
      <alignment horizontal="left" vertical="center"/>
      <protection hidden="1"/>
    </xf>
    <xf numFmtId="3" fontId="5" fillId="0" borderId="12" xfId="0" applyNumberFormat="1" applyFont="1" applyFill="1" applyBorder="1" applyAlignment="1" applyProtection="1" quotePrefix="1">
      <alignment horizontal="center" vertical="center"/>
      <protection hidden="1"/>
    </xf>
    <xf numFmtId="3" fontId="108" fillId="0" borderId="10" xfId="0" applyNumberFormat="1" applyFont="1" applyFill="1" applyBorder="1" applyAlignment="1" applyProtection="1">
      <alignment horizontal="left" vertical="justify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right" vertical="center"/>
      <protection hidden="1"/>
    </xf>
    <xf numFmtId="3" fontId="109" fillId="0" borderId="10" xfId="0" applyNumberFormat="1" applyFont="1" applyFill="1" applyBorder="1" applyAlignment="1" applyProtection="1">
      <alignment horizontal="left" vertical="justify"/>
      <protection hidden="1"/>
    </xf>
    <xf numFmtId="3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3" fontId="5" fillId="0" borderId="26" xfId="0" applyNumberFormat="1" applyFont="1" applyFill="1" applyBorder="1" applyAlignment="1" applyProtection="1" quotePrefix="1">
      <alignment horizontal="center" vertical="center"/>
      <protection hidden="1"/>
    </xf>
    <xf numFmtId="3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right" vertical="center"/>
      <protection hidden="1"/>
    </xf>
    <xf numFmtId="1" fontId="5" fillId="36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7" xfId="0" applyNumberFormat="1" applyFont="1" applyFill="1" applyBorder="1" applyAlignment="1" applyProtection="1">
      <alignment horizontal="right" vertical="center"/>
      <protection hidden="1"/>
    </xf>
    <xf numFmtId="3" fontId="5" fillId="0" borderId="27" xfId="0" applyNumberFormat="1" applyFont="1" applyFill="1" applyBorder="1" applyAlignment="1" applyProtection="1">
      <alignment horizontal="right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5" fillId="0" borderId="13" xfId="0" applyNumberFormat="1" applyFont="1" applyFill="1" applyBorder="1" applyAlignment="1" applyProtection="1" quotePrefix="1">
      <alignment horizontal="center" vertical="center"/>
      <protection hidden="1"/>
    </xf>
    <xf numFmtId="3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3" fontId="5" fillId="0" borderId="14" xfId="0" applyNumberFormat="1" applyFont="1" applyFill="1" applyBorder="1" applyAlignment="1" applyProtection="1">
      <alignment horizontal="center" vertical="center"/>
      <protection hidden="1"/>
    </xf>
    <xf numFmtId="3" fontId="5" fillId="0" borderId="14" xfId="0" applyNumberFormat="1" applyFont="1" applyFill="1" applyBorder="1" applyAlignment="1" applyProtection="1">
      <alignment horizontal="right" vertical="center"/>
      <protection hidden="1"/>
    </xf>
    <xf numFmtId="3" fontId="5" fillId="36" borderId="14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Fill="1" applyBorder="1" applyAlignment="1" applyProtection="1">
      <alignment horizontal="left" vertical="center"/>
      <protection hidden="1"/>
    </xf>
    <xf numFmtId="3" fontId="5" fillId="34" borderId="0" xfId="0" applyNumberFormat="1" applyFont="1" applyFill="1" applyBorder="1" applyAlignment="1" applyProtection="1">
      <alignment horizontal="left" vertical="center"/>
      <protection hidden="1"/>
    </xf>
    <xf numFmtId="3" fontId="5" fillId="34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182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169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5" borderId="12" xfId="0" applyFont="1" applyFill="1" applyBorder="1" applyAlignment="1" applyProtection="1">
      <alignment horizontal="center" vertical="center" wrapText="1"/>
      <protection hidden="1"/>
    </xf>
    <xf numFmtId="0" fontId="12" fillId="35" borderId="10" xfId="0" applyFont="1" applyFill="1" applyBorder="1" applyAlignment="1" applyProtection="1">
      <alignment horizontal="center" vertical="center" wrapText="1"/>
      <protection hidden="1"/>
    </xf>
    <xf numFmtId="0" fontId="12" fillId="35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0" fontId="4" fillId="0" borderId="14" xfId="0" applyNumberFormat="1" applyFont="1" applyFill="1" applyBorder="1" applyAlignment="1" applyProtection="1">
      <alignment horizontal="center"/>
      <protection hidden="1"/>
    </xf>
    <xf numFmtId="10" fontId="4" fillId="0" borderId="19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Fill="1" applyBorder="1" applyAlignment="1" applyProtection="1">
      <alignment horizontal="center"/>
      <protection hidden="1"/>
    </xf>
    <xf numFmtId="186" fontId="7" fillId="0" borderId="0" xfId="0" applyNumberFormat="1" applyFont="1" applyBorder="1" applyAlignment="1" applyProtection="1">
      <alignment horizontal="left" vertical="center" wrapText="1"/>
      <protection hidden="1"/>
    </xf>
    <xf numFmtId="3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182" fontId="5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3" fontId="7" fillId="0" borderId="15" xfId="0" applyNumberFormat="1" applyFont="1" applyBorder="1" applyAlignment="1" applyProtection="1">
      <alignment vertical="center" wrapText="1"/>
      <protection hidden="1"/>
    </xf>
    <xf numFmtId="10" fontId="7" fillId="0" borderId="10" xfId="59" applyNumberFormat="1" applyFont="1" applyBorder="1" applyAlignment="1" applyProtection="1">
      <alignment horizontal="right" vertical="center" wrapText="1"/>
      <protection hidden="1"/>
    </xf>
    <xf numFmtId="3" fontId="7" fillId="0" borderId="31" xfId="0" applyNumberFormat="1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 quotePrefix="1">
      <alignment horizontal="center" vertical="center" wrapText="1"/>
      <protection hidden="1"/>
    </xf>
    <xf numFmtId="0" fontId="7" fillId="0" borderId="10" xfId="0" applyFont="1" applyBorder="1" applyAlignment="1" applyProtection="1" quotePrefix="1">
      <alignment horizontal="right" vertical="center" wrapText="1"/>
      <protection hidden="1"/>
    </xf>
    <xf numFmtId="3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Border="1" applyAlignment="1" applyProtection="1" quotePrefix="1">
      <alignment horizontal="left" vertical="center" wrapText="1"/>
      <protection hidden="1"/>
    </xf>
    <xf numFmtId="3" fontId="7" fillId="0" borderId="10" xfId="0" applyNumberFormat="1" applyFont="1" applyBorder="1" applyAlignment="1" applyProtection="1" quotePrefix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 quotePrefix="1">
      <alignment horizontal="right" vertical="justify"/>
      <protection hidden="1"/>
    </xf>
    <xf numFmtId="0" fontId="9" fillId="0" borderId="0" xfId="0" applyFont="1" applyAlignment="1" applyProtection="1">
      <alignment horizontal="left" vertical="justify"/>
      <protection hidden="1"/>
    </xf>
    <xf numFmtId="0" fontId="9" fillId="0" borderId="0" xfId="0" applyFont="1" applyAlignment="1" applyProtection="1">
      <alignment vertical="justify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180" fontId="5" fillId="0" borderId="32" xfId="0" applyNumberFormat="1" applyFont="1" applyFill="1" applyBorder="1" applyAlignment="1" applyProtection="1">
      <alignment horizontal="center" vertical="center"/>
      <protection hidden="1"/>
    </xf>
    <xf numFmtId="195" fontId="5" fillId="36" borderId="33" xfId="0" applyNumberFormat="1" applyFont="1" applyFill="1" applyBorder="1" applyAlignment="1" applyProtection="1">
      <alignment horizontal="center" vertical="center" wrapText="1"/>
      <protection hidden="1"/>
    </xf>
    <xf numFmtId="197" fontId="5" fillId="0" borderId="30" xfId="0" applyNumberFormat="1" applyFont="1" applyFill="1" applyBorder="1" applyAlignment="1" applyProtection="1">
      <alignment horizontal="center" vertical="center"/>
      <protection hidden="1"/>
    </xf>
    <xf numFmtId="3" fontId="5" fillId="34" borderId="34" xfId="0" applyNumberFormat="1" applyFont="1" applyFill="1" applyBorder="1" applyAlignment="1" applyProtection="1">
      <alignment horizontal="center"/>
      <protection hidden="1"/>
    </xf>
    <xf numFmtId="3" fontId="18" fillId="0" borderId="12" xfId="0" applyNumberFormat="1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3" fontId="18" fillId="0" borderId="10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0" borderId="34" xfId="0" applyNumberFormat="1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right"/>
      <protection hidden="1"/>
    </xf>
    <xf numFmtId="3" fontId="5" fillId="33" borderId="10" xfId="0" applyNumberFormat="1" applyFont="1" applyFill="1" applyBorder="1" applyAlignment="1" applyProtection="1">
      <alignment horizontal="center"/>
      <protection hidden="1"/>
    </xf>
    <xf numFmtId="3" fontId="5" fillId="0" borderId="12" xfId="0" applyNumberFormat="1" applyFont="1" applyFill="1" applyBorder="1" applyAlignment="1" applyProtection="1">
      <alignment horizontal="right"/>
      <protection hidden="1"/>
    </xf>
    <xf numFmtId="3" fontId="5" fillId="0" borderId="12" xfId="0" applyNumberFormat="1" applyFont="1" applyBorder="1" applyAlignment="1" applyProtection="1">
      <alignment horizontal="left"/>
      <protection hidden="1"/>
    </xf>
    <xf numFmtId="3" fontId="5" fillId="34" borderId="10" xfId="0" applyNumberFormat="1" applyFont="1" applyFill="1" applyBorder="1" applyAlignment="1" applyProtection="1">
      <alignment horizontal="center"/>
      <protection hidden="1"/>
    </xf>
    <xf numFmtId="10" fontId="5" fillId="0" borderId="10" xfId="0" applyNumberFormat="1" applyFont="1" applyBorder="1" applyAlignment="1" applyProtection="1">
      <alignment horizontal="center"/>
      <protection hidden="1"/>
    </xf>
    <xf numFmtId="3" fontId="7" fillId="0" borderId="10" xfId="0" applyNumberFormat="1" applyFont="1" applyFill="1" applyBorder="1" applyAlignment="1" applyProtection="1">
      <alignment horizontal="center"/>
      <protection hidden="1"/>
    </xf>
    <xf numFmtId="3" fontId="30" fillId="0" borderId="12" xfId="0" applyNumberFormat="1" applyFont="1" applyBorder="1" applyAlignment="1" applyProtection="1">
      <alignment horizontal="left"/>
      <protection hidden="1"/>
    </xf>
    <xf numFmtId="3" fontId="5" fillId="0" borderId="10" xfId="0" applyNumberFormat="1" applyFont="1" applyFill="1" applyBorder="1" applyAlignment="1" applyProtection="1">
      <alignment horizontal="center"/>
      <protection hidden="1"/>
    </xf>
    <xf numFmtId="3" fontId="5" fillId="0" borderId="11" xfId="0" applyNumberFormat="1" applyFont="1" applyFill="1" applyBorder="1" applyAlignment="1" applyProtection="1">
      <alignment horizontal="center"/>
      <protection hidden="1"/>
    </xf>
    <xf numFmtId="3" fontId="30" fillId="0" borderId="12" xfId="0" applyNumberFormat="1" applyFont="1" applyFill="1" applyBorder="1" applyAlignment="1" applyProtection="1">
      <alignment horizontal="left"/>
      <protection hidden="1"/>
    </xf>
    <xf numFmtId="4" fontId="30" fillId="0" borderId="10" xfId="0" applyNumberFormat="1" applyFont="1" applyFill="1" applyBorder="1" applyAlignment="1" applyProtection="1">
      <alignment horizontal="center"/>
      <protection hidden="1"/>
    </xf>
    <xf numFmtId="3" fontId="5" fillId="0" borderId="12" xfId="0" applyNumberFormat="1" applyFont="1" applyFill="1" applyBorder="1" applyAlignment="1" applyProtection="1">
      <alignment horizontal="left"/>
      <protection hidden="1"/>
    </xf>
    <xf numFmtId="4" fontId="5" fillId="0" borderId="10" xfId="0" applyNumberFormat="1" applyFont="1" applyFill="1" applyBorder="1" applyAlignment="1" applyProtection="1">
      <alignment horizontal="center"/>
      <protection hidden="1"/>
    </xf>
    <xf numFmtId="175" fontId="110" fillId="34" borderId="10" xfId="0" applyNumberFormat="1" applyFont="1" applyFill="1" applyBorder="1" applyAlignment="1" applyProtection="1">
      <alignment horizontal="center"/>
      <protection hidden="1"/>
    </xf>
    <xf numFmtId="175" fontId="110" fillId="34" borderId="11" xfId="0" applyNumberFormat="1" applyFont="1" applyFill="1" applyBorder="1" applyAlignment="1" applyProtection="1">
      <alignment horizontal="center"/>
      <protection hidden="1"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12" xfId="0" applyFont="1" applyFill="1" applyBorder="1" applyAlignment="1" applyProtection="1">
      <alignment horizontal="center"/>
      <protection hidden="1"/>
    </xf>
    <xf numFmtId="0" fontId="12" fillId="35" borderId="10" xfId="0" applyFont="1" applyFill="1" applyBorder="1" applyAlignment="1" applyProtection="1">
      <alignment horizontal="center"/>
      <protection hidden="1"/>
    </xf>
    <xf numFmtId="10" fontId="5" fillId="0" borderId="11" xfId="0" applyNumberFormat="1" applyFont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/>
      <protection hidden="1"/>
    </xf>
    <xf numFmtId="3" fontId="5" fillId="0" borderId="11" xfId="0" applyNumberFormat="1" applyFont="1" applyBorder="1" applyAlignment="1" applyProtection="1">
      <alignment horizontal="center"/>
      <protection hidden="1"/>
    </xf>
    <xf numFmtId="3" fontId="23" fillId="0" borderId="12" xfId="0" applyNumberFormat="1" applyFont="1" applyBorder="1" applyAlignment="1" applyProtection="1">
      <alignment horizontal="left"/>
      <protection hidden="1"/>
    </xf>
    <xf numFmtId="175" fontId="18" fillId="34" borderId="10" xfId="0" applyNumberFormat="1" applyFont="1" applyFill="1" applyBorder="1" applyAlignment="1" applyProtection="1">
      <alignment horizontal="center"/>
      <protection hidden="1"/>
    </xf>
    <xf numFmtId="175" fontId="18" fillId="34" borderId="11" xfId="0" applyNumberFormat="1" applyFont="1" applyFill="1" applyBorder="1" applyAlignment="1" applyProtection="1">
      <alignment horizontal="center"/>
      <protection hidden="1"/>
    </xf>
    <xf numFmtId="3" fontId="12" fillId="34" borderId="10" xfId="0" applyNumberFormat="1" applyFont="1" applyFill="1" applyBorder="1" applyAlignment="1" applyProtection="1">
      <alignment horizontal="center"/>
      <protection hidden="1"/>
    </xf>
    <xf numFmtId="3" fontId="7" fillId="0" borderId="10" xfId="0" applyNumberFormat="1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180" fontId="18" fillId="0" borderId="32" xfId="0" applyNumberFormat="1" applyFont="1" applyFill="1" applyBorder="1" applyAlignment="1" applyProtection="1">
      <alignment horizontal="center" vertical="center"/>
      <protection hidden="1"/>
    </xf>
    <xf numFmtId="195" fontId="18" fillId="36" borderId="33" xfId="0" applyNumberFormat="1" applyFont="1" applyFill="1" applyBorder="1" applyAlignment="1" applyProtection="1">
      <alignment horizontal="center" vertical="center" wrapText="1"/>
      <protection hidden="1"/>
    </xf>
    <xf numFmtId="197" fontId="18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35" borderId="12" xfId="0" applyFont="1" applyFill="1" applyBorder="1" applyAlignment="1" applyProtection="1">
      <alignment horizontal="center" vertical="center"/>
      <protection hidden="1"/>
    </xf>
    <xf numFmtId="0" fontId="12" fillId="35" borderId="10" xfId="0" applyFont="1" applyFill="1" applyBorder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horizontal="center" vertical="center"/>
      <protection hidden="1"/>
    </xf>
    <xf numFmtId="0" fontId="12" fillId="35" borderId="17" xfId="0" applyFont="1" applyFill="1" applyBorder="1" applyAlignment="1" applyProtection="1">
      <alignment horizontal="center" vertical="center"/>
      <protection hidden="1"/>
    </xf>
    <xf numFmtId="0" fontId="111" fillId="0" borderId="10" xfId="0" applyFont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10" fillId="0" borderId="10" xfId="0" applyNumberFormat="1" applyFont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111" fillId="0" borderId="10" xfId="0" applyFont="1" applyBorder="1" applyAlignment="1" applyProtection="1">
      <alignment horizontal="right"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0" fontId="111" fillId="0" borderId="10" xfId="0" applyFont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10" fontId="7" fillId="36" borderId="10" xfId="59" applyNumberFormat="1" applyFont="1" applyFill="1" applyBorder="1" applyAlignment="1" applyProtection="1">
      <alignment vertical="center"/>
      <protection hidden="1"/>
    </xf>
    <xf numFmtId="3" fontId="5" fillId="36" borderId="10" xfId="0" applyNumberFormat="1" applyFont="1" applyFill="1" applyBorder="1" applyAlignment="1" applyProtection="1">
      <alignment vertical="center"/>
      <protection hidden="1"/>
    </xf>
    <xf numFmtId="0" fontId="32" fillId="0" borderId="29" xfId="0" applyFont="1" applyBorder="1" applyAlignment="1" applyProtection="1">
      <alignment vertical="center"/>
      <protection hidden="1"/>
    </xf>
    <xf numFmtId="169" fontId="12" fillId="0" borderId="29" xfId="0" applyNumberFormat="1" applyFont="1" applyFill="1" applyBorder="1" applyAlignment="1" applyProtection="1">
      <alignment vertical="center"/>
      <protection hidden="1"/>
    </xf>
    <xf numFmtId="169" fontId="12" fillId="0" borderId="33" xfId="0" applyNumberFormat="1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3" fontId="110" fillId="0" borderId="10" xfId="0" applyNumberFormat="1" applyFont="1" applyFill="1" applyBorder="1" applyAlignment="1" applyProtection="1">
      <alignment vertical="center"/>
      <protection hidden="1"/>
    </xf>
    <xf numFmtId="3" fontId="110" fillId="0" borderId="11" xfId="0" applyNumberFormat="1" applyFont="1" applyFill="1" applyBorder="1" applyAlignment="1" applyProtection="1">
      <alignment vertical="center"/>
      <protection hidden="1"/>
    </xf>
    <xf numFmtId="0" fontId="112" fillId="34" borderId="10" xfId="0" applyFont="1" applyFill="1" applyBorder="1" applyAlignment="1" applyProtection="1">
      <alignment vertical="center"/>
      <protection hidden="1"/>
    </xf>
    <xf numFmtId="0" fontId="106" fillId="34" borderId="10" xfId="0" applyFont="1" applyFill="1" applyBorder="1" applyAlignment="1" applyProtection="1">
      <alignment horizontal="right"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0" fontId="5" fillId="32" borderId="10" xfId="0" applyFont="1" applyFill="1" applyBorder="1" applyAlignment="1" applyProtection="1">
      <alignment horizontal="right" vertical="center"/>
      <protection hidden="1"/>
    </xf>
    <xf numFmtId="199" fontId="7" fillId="36" borderId="10" xfId="0" applyNumberFormat="1" applyFont="1" applyFill="1" applyBorder="1" applyAlignment="1" applyProtection="1">
      <alignment vertical="center"/>
      <protection hidden="1"/>
    </xf>
    <xf numFmtId="202" fontId="7" fillId="36" borderId="10" xfId="0" applyNumberFormat="1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74" fontId="18" fillId="0" borderId="10" xfId="59" applyNumberFormat="1" applyFont="1" applyFill="1" applyBorder="1" applyAlignment="1" applyProtection="1">
      <alignment vertical="center"/>
      <protection hidden="1"/>
    </xf>
    <xf numFmtId="10" fontId="18" fillId="0" borderId="10" xfId="59" applyNumberFormat="1" applyFont="1" applyFill="1" applyBorder="1" applyAlignment="1" applyProtection="1">
      <alignment vertical="center"/>
      <protection hidden="1"/>
    </xf>
    <xf numFmtId="10" fontId="5" fillId="0" borderId="10" xfId="59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4" fontId="13" fillId="0" borderId="10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3" fontId="110" fillId="34" borderId="10" xfId="0" applyNumberFormat="1" applyFont="1" applyFill="1" applyBorder="1" applyAlignment="1" applyProtection="1">
      <alignment vertical="center"/>
      <protection hidden="1"/>
    </xf>
    <xf numFmtId="0" fontId="12" fillId="34" borderId="10" xfId="0" applyFont="1" applyFill="1" applyBorder="1" applyAlignment="1" applyProtection="1">
      <alignment horizontal="center" vertical="center"/>
      <protection hidden="1"/>
    </xf>
    <xf numFmtId="200" fontId="7" fillId="36" borderId="10" xfId="0" applyNumberFormat="1" applyFont="1" applyFill="1" applyBorder="1" applyAlignment="1" applyProtection="1">
      <alignment vertical="center"/>
      <protection hidden="1"/>
    </xf>
    <xf numFmtId="201" fontId="7" fillId="36" borderId="10" xfId="0" applyNumberFormat="1" applyFont="1" applyFill="1" applyBorder="1" applyAlignment="1" applyProtection="1">
      <alignment vertical="center"/>
      <protection hidden="1"/>
    </xf>
    <xf numFmtId="174" fontId="14" fillId="0" borderId="10" xfId="59" applyNumberFormat="1" applyFont="1" applyFill="1" applyBorder="1" applyAlignment="1" applyProtection="1">
      <alignment vertical="center"/>
      <protection hidden="1"/>
    </xf>
    <xf numFmtId="0" fontId="113" fillId="0" borderId="10" xfId="0" applyFont="1" applyBorder="1" applyAlignment="1" applyProtection="1">
      <alignment horizontal="right" vertical="center"/>
      <protection hidden="1"/>
    </xf>
    <xf numFmtId="0" fontId="113" fillId="0" borderId="10" xfId="0" applyFont="1" applyBorder="1" applyAlignment="1" applyProtection="1">
      <alignment vertical="center"/>
      <protection hidden="1"/>
    </xf>
    <xf numFmtId="0" fontId="114" fillId="0" borderId="10" xfId="0" applyFont="1" applyBorder="1" applyAlignment="1" applyProtection="1">
      <alignment vertical="center"/>
      <protection hidden="1"/>
    </xf>
    <xf numFmtId="3" fontId="103" fillId="34" borderId="10" xfId="0" applyNumberFormat="1" applyFont="1" applyFill="1" applyBorder="1" applyAlignment="1" applyProtection="1">
      <alignment vertical="center"/>
      <protection hidden="1"/>
    </xf>
    <xf numFmtId="0" fontId="114" fillId="0" borderId="10" xfId="0" applyFont="1" applyBorder="1" applyAlignment="1" applyProtection="1">
      <alignment horizontal="right" vertical="center"/>
      <protection hidden="1"/>
    </xf>
    <xf numFmtId="0" fontId="44" fillId="0" borderId="10" xfId="0" applyFont="1" applyBorder="1" applyAlignment="1" applyProtection="1">
      <alignment horizontal="right" vertical="center"/>
      <protection hidden="1"/>
    </xf>
    <xf numFmtId="0" fontId="18" fillId="34" borderId="10" xfId="0" applyFont="1" applyFill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right"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right" vertical="center"/>
      <protection hidden="1"/>
    </xf>
    <xf numFmtId="0" fontId="10" fillId="34" borderId="10" xfId="0" applyFont="1" applyFill="1" applyBorder="1" applyAlignment="1" applyProtection="1">
      <alignment vertical="center"/>
      <protection hidden="1"/>
    </xf>
    <xf numFmtId="2" fontId="115" fillId="0" borderId="10" xfId="0" applyNumberFormat="1" applyFont="1" applyBorder="1" applyAlignment="1" applyProtection="1">
      <alignment vertical="center"/>
      <protection hidden="1"/>
    </xf>
    <xf numFmtId="0" fontId="37" fillId="0" borderId="10" xfId="0" applyFont="1" applyBorder="1" applyAlignment="1" applyProtection="1">
      <alignment horizontal="right" vertical="center"/>
      <protection hidden="1"/>
    </xf>
    <xf numFmtId="2" fontId="104" fillId="0" borderId="10" xfId="0" applyNumberFormat="1" applyFont="1" applyBorder="1" applyAlignment="1" applyProtection="1">
      <alignment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3" fontId="5" fillId="0" borderId="17" xfId="0" applyNumberFormat="1" applyFont="1" applyFill="1" applyBorder="1" applyAlignment="1" applyProtection="1">
      <alignment vertical="center"/>
      <protection hidden="1"/>
    </xf>
    <xf numFmtId="3" fontId="5" fillId="34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5" xfId="0" applyNumberFormat="1" applyFont="1" applyFill="1" applyBorder="1" applyAlignment="1" applyProtection="1">
      <alignment vertical="center"/>
      <protection hidden="1"/>
    </xf>
    <xf numFmtId="0" fontId="116" fillId="0" borderId="10" xfId="0" applyFont="1" applyBorder="1" applyAlignment="1" applyProtection="1">
      <alignment vertical="center"/>
      <protection hidden="1"/>
    </xf>
    <xf numFmtId="4" fontId="43" fillId="0" borderId="15" xfId="0" applyNumberFormat="1" applyFont="1" applyFill="1" applyBorder="1" applyAlignment="1" applyProtection="1">
      <alignment vertical="center"/>
      <protection hidden="1"/>
    </xf>
    <xf numFmtId="0" fontId="110" fillId="0" borderId="10" xfId="0" applyFont="1" applyBorder="1" applyAlignment="1" applyProtection="1">
      <alignment vertical="center"/>
      <protection hidden="1"/>
    </xf>
    <xf numFmtId="4" fontId="104" fillId="0" borderId="17" xfId="0" applyNumberFormat="1" applyFont="1" applyBorder="1" applyAlignment="1" applyProtection="1">
      <alignment vertical="center"/>
      <protection hidden="1"/>
    </xf>
    <xf numFmtId="3" fontId="117" fillId="0" borderId="17" xfId="0" applyNumberFormat="1" applyFont="1" applyBorder="1" applyAlignment="1" applyProtection="1">
      <alignment vertical="center"/>
      <protection hidden="1"/>
    </xf>
    <xf numFmtId="3" fontId="5" fillId="34" borderId="17" xfId="0" applyNumberFormat="1" applyFont="1" applyFill="1" applyBorder="1" applyAlignment="1" applyProtection="1">
      <alignment vertical="center"/>
      <protection hidden="1"/>
    </xf>
    <xf numFmtId="4" fontId="118" fillId="0" borderId="10" xfId="0" applyNumberFormat="1" applyFont="1" applyBorder="1" applyAlignment="1" applyProtection="1">
      <alignment vertical="center"/>
      <protection hidden="1"/>
    </xf>
    <xf numFmtId="205" fontId="5" fillId="32" borderId="10" xfId="0" applyNumberFormat="1" applyFont="1" applyFill="1" applyBorder="1" applyAlignment="1" applyProtection="1">
      <alignment horizontal="left" vertical="center"/>
      <protection hidden="1"/>
    </xf>
    <xf numFmtId="2" fontId="5" fillId="0" borderId="10" xfId="0" applyNumberFormat="1" applyFont="1" applyBorder="1" applyAlignment="1" applyProtection="1">
      <alignment vertical="center"/>
      <protection hidden="1"/>
    </xf>
    <xf numFmtId="3" fontId="5" fillId="34" borderId="30" xfId="0" applyNumberFormat="1" applyFont="1" applyFill="1" applyBorder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center"/>
      <protection hidden="1"/>
    </xf>
    <xf numFmtId="2" fontId="46" fillId="0" borderId="10" xfId="0" applyNumberFormat="1" applyFont="1" applyBorder="1" applyAlignment="1" applyProtection="1">
      <alignment vertical="center"/>
      <protection hidden="1"/>
    </xf>
    <xf numFmtId="172" fontId="5" fillId="0" borderId="17" xfId="0" applyNumberFormat="1" applyFont="1" applyBorder="1" applyAlignment="1" applyProtection="1">
      <alignment horizontal="center" vertical="center"/>
      <protection hidden="1"/>
    </xf>
    <xf numFmtId="2" fontId="119" fillId="0" borderId="17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3" fontId="5" fillId="32" borderId="10" xfId="0" applyNumberFormat="1" applyFont="1" applyFill="1" applyBorder="1" applyAlignment="1" applyProtection="1">
      <alignment vertical="center"/>
      <protection locked="0"/>
    </xf>
    <xf numFmtId="3" fontId="5" fillId="33" borderId="11" xfId="0" applyNumberFormat="1" applyFont="1" applyFill="1" applyBorder="1" applyAlignment="1" applyProtection="1">
      <alignment vertical="center"/>
      <protection locked="0"/>
    </xf>
    <xf numFmtId="4" fontId="5" fillId="32" borderId="10" xfId="0" applyNumberFormat="1" applyFont="1" applyFill="1" applyBorder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right" vertical="center"/>
      <protection locked="0"/>
    </xf>
    <xf numFmtId="203" fontId="7" fillId="32" borderId="10" xfId="0" applyNumberFormat="1" applyFont="1" applyFill="1" applyBorder="1" applyAlignment="1" applyProtection="1">
      <alignment vertical="center"/>
      <protection locked="0"/>
    </xf>
    <xf numFmtId="204" fontId="7" fillId="32" borderId="10" xfId="0" applyNumberFormat="1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right" vertical="center"/>
      <protection locked="0"/>
    </xf>
    <xf numFmtId="3" fontId="110" fillId="0" borderId="11" xfId="0" applyNumberFormat="1" applyFont="1" applyBorder="1" applyAlignment="1" applyProtection="1">
      <alignment vertical="center"/>
      <protection hidden="1"/>
    </xf>
    <xf numFmtId="3" fontId="5" fillId="0" borderId="11" xfId="0" applyNumberFormat="1" applyFont="1" applyBorder="1" applyAlignment="1" applyProtection="1">
      <alignment vertical="center"/>
      <protection hidden="1"/>
    </xf>
    <xf numFmtId="3" fontId="7" fillId="0" borderId="11" xfId="0" applyNumberFormat="1" applyFont="1" applyFill="1" applyBorder="1" applyAlignment="1" applyProtection="1">
      <alignment vertical="center"/>
      <protection hidden="1"/>
    </xf>
    <xf numFmtId="3" fontId="7" fillId="33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10" fontId="7" fillId="36" borderId="11" xfId="59" applyNumberFormat="1" applyFont="1" applyFill="1" applyBorder="1" applyAlignment="1" applyProtection="1">
      <alignment vertical="center"/>
      <protection hidden="1"/>
    </xf>
    <xf numFmtId="3" fontId="5" fillId="36" borderId="11" xfId="0" applyNumberFormat="1" applyFont="1" applyFill="1" applyBorder="1" applyAlignment="1" applyProtection="1">
      <alignment vertical="center"/>
      <protection hidden="1"/>
    </xf>
    <xf numFmtId="3" fontId="103" fillId="33" borderId="11" xfId="0" applyNumberFormat="1" applyFont="1" applyFill="1" applyBorder="1" applyAlignment="1" applyProtection="1">
      <alignment vertical="center"/>
      <protection locked="0"/>
    </xf>
    <xf numFmtId="174" fontId="18" fillId="0" borderId="11" xfId="59" applyNumberFormat="1" applyFont="1" applyFill="1" applyBorder="1" applyAlignment="1" applyProtection="1">
      <alignment vertical="center"/>
      <protection hidden="1"/>
    </xf>
    <xf numFmtId="10" fontId="5" fillId="0" borderId="11" xfId="59" applyNumberFormat="1" applyFont="1" applyBorder="1" applyAlignment="1" applyProtection="1">
      <alignment vertical="center"/>
      <protection hidden="1"/>
    </xf>
    <xf numFmtId="4" fontId="13" fillId="0" borderId="11" xfId="0" applyNumberFormat="1" applyFont="1" applyFill="1" applyBorder="1" applyAlignment="1" applyProtection="1">
      <alignment vertical="center"/>
      <protection hidden="1"/>
    </xf>
    <xf numFmtId="3" fontId="110" fillId="34" borderId="11" xfId="0" applyNumberFormat="1" applyFont="1" applyFill="1" applyBorder="1" applyAlignment="1" applyProtection="1">
      <alignment vertical="center"/>
      <protection hidden="1"/>
    </xf>
    <xf numFmtId="174" fontId="14" fillId="0" borderId="11" xfId="59" applyNumberFormat="1" applyFont="1" applyFill="1" applyBorder="1" applyAlignment="1" applyProtection="1">
      <alignment vertical="center"/>
      <protection hidden="1"/>
    </xf>
    <xf numFmtId="3" fontId="103" fillId="34" borderId="11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3" fontId="5" fillId="32" borderId="11" xfId="0" applyNumberFormat="1" applyFont="1" applyFill="1" applyBorder="1" applyAlignment="1" applyProtection="1">
      <alignment vertical="center"/>
      <protection locked="0"/>
    </xf>
    <xf numFmtId="4" fontId="5" fillId="32" borderId="11" xfId="0" applyNumberFormat="1" applyFont="1" applyFill="1" applyBorder="1" applyAlignment="1" applyProtection="1">
      <alignment vertical="center"/>
      <protection locked="0"/>
    </xf>
    <xf numFmtId="2" fontId="115" fillId="0" borderId="11" xfId="0" applyNumberFormat="1" applyFont="1" applyBorder="1" applyAlignment="1" applyProtection="1">
      <alignment vertical="center"/>
      <protection hidden="1"/>
    </xf>
    <xf numFmtId="2" fontId="104" fillId="0" borderId="11" xfId="0" applyNumberFormat="1" applyFont="1" applyBorder="1" applyAlignment="1" applyProtection="1">
      <alignment vertical="center"/>
      <protection hidden="1"/>
    </xf>
    <xf numFmtId="3" fontId="5" fillId="0" borderId="27" xfId="0" applyNumberFormat="1" applyFont="1" applyFill="1" applyBorder="1" applyAlignment="1" applyProtection="1">
      <alignment vertical="center"/>
      <protection hidden="1"/>
    </xf>
    <xf numFmtId="3" fontId="13" fillId="0" borderId="37" xfId="0" applyNumberFormat="1" applyFont="1" applyFill="1" applyBorder="1" applyAlignment="1" applyProtection="1">
      <alignment vertical="center"/>
      <protection hidden="1"/>
    </xf>
    <xf numFmtId="4" fontId="43" fillId="0" borderId="37" xfId="0" applyNumberFormat="1" applyFont="1" applyFill="1" applyBorder="1" applyAlignment="1" applyProtection="1">
      <alignment vertical="center"/>
      <protection hidden="1"/>
    </xf>
    <xf numFmtId="4" fontId="104" fillId="0" borderId="27" xfId="0" applyNumberFormat="1" applyFont="1" applyBorder="1" applyAlignment="1" applyProtection="1">
      <alignment vertical="center"/>
      <protection hidden="1"/>
    </xf>
    <xf numFmtId="3" fontId="117" fillId="0" borderId="27" xfId="0" applyNumberFormat="1" applyFont="1" applyBorder="1" applyAlignment="1" applyProtection="1">
      <alignment vertical="center"/>
      <protection hidden="1"/>
    </xf>
    <xf numFmtId="3" fontId="5" fillId="34" borderId="27" xfId="0" applyNumberFormat="1" applyFont="1" applyFill="1" applyBorder="1" applyAlignment="1" applyProtection="1">
      <alignment vertical="center"/>
      <protection hidden="1"/>
    </xf>
    <xf numFmtId="4" fontId="118" fillId="0" borderId="11" xfId="0" applyNumberFormat="1" applyFont="1" applyBorder="1" applyAlignment="1" applyProtection="1">
      <alignment vertical="center"/>
      <protection hidden="1"/>
    </xf>
    <xf numFmtId="2" fontId="5" fillId="0" borderId="11" xfId="0" applyNumberFormat="1" applyFont="1" applyBorder="1" applyAlignment="1" applyProtection="1">
      <alignment vertical="center"/>
      <protection hidden="1"/>
    </xf>
    <xf numFmtId="0" fontId="111" fillId="0" borderId="0" xfId="0" applyFont="1" applyBorder="1" applyAlignment="1" applyProtection="1">
      <alignment vertical="center"/>
      <protection hidden="1"/>
    </xf>
    <xf numFmtId="2" fontId="46" fillId="0" borderId="11" xfId="0" applyNumberFormat="1" applyFont="1" applyBorder="1" applyAlignment="1" applyProtection="1">
      <alignment vertical="center"/>
      <protection hidden="1"/>
    </xf>
    <xf numFmtId="2" fontId="119" fillId="0" borderId="27" xfId="0" applyNumberFormat="1" applyFont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horizontal="center" vertical="center"/>
      <protection hidden="1"/>
    </xf>
    <xf numFmtId="172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2" fontId="120" fillId="0" borderId="38" xfId="0" applyNumberFormat="1" applyFont="1" applyBorder="1" applyAlignment="1" applyProtection="1">
      <alignment vertical="center"/>
      <protection hidden="1"/>
    </xf>
    <xf numFmtId="2" fontId="120" fillId="0" borderId="39" xfId="0" applyNumberFormat="1" applyFont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121" fillId="0" borderId="17" xfId="0" applyFont="1" applyFill="1" applyBorder="1" applyAlignment="1" applyProtection="1">
      <alignment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4" fontId="14" fillId="0" borderId="14" xfId="0" applyNumberFormat="1" applyFont="1" applyFill="1" applyBorder="1" applyAlignment="1" applyProtection="1">
      <alignment vertical="center"/>
      <protection hidden="1"/>
    </xf>
    <xf numFmtId="4" fontId="14" fillId="0" borderId="19" xfId="0" applyNumberFormat="1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170" fontId="5" fillId="0" borderId="10" xfId="0" applyNumberFormat="1" applyFont="1" applyBorder="1" applyAlignment="1" applyProtection="1">
      <alignment horizontal="right" vertical="center"/>
      <protection hidden="1"/>
    </xf>
    <xf numFmtId="170" fontId="5" fillId="33" borderId="10" xfId="0" applyNumberFormat="1" applyFont="1" applyFill="1" applyBorder="1" applyAlignment="1" applyProtection="1">
      <alignment horizontal="right" vertical="center"/>
      <protection locked="0"/>
    </xf>
    <xf numFmtId="10" fontId="5" fillId="36" borderId="10" xfId="59" applyNumberFormat="1" applyFont="1" applyFill="1" applyBorder="1" applyAlignment="1" applyProtection="1">
      <alignment horizontal="center" vertical="center"/>
      <protection locked="0"/>
    </xf>
    <xf numFmtId="170" fontId="5" fillId="36" borderId="10" xfId="0" applyNumberFormat="1" applyFont="1" applyFill="1" applyBorder="1" applyAlignment="1" applyProtection="1">
      <alignment horizontal="right" vertical="center"/>
      <protection hidden="1"/>
    </xf>
    <xf numFmtId="4" fontId="5" fillId="33" borderId="10" xfId="0" applyNumberFormat="1" applyFont="1" applyFill="1" applyBorder="1" applyAlignment="1" applyProtection="1">
      <alignment horizontal="right" vertical="center"/>
      <protection locked="0"/>
    </xf>
    <xf numFmtId="174" fontId="5" fillId="0" borderId="22" xfId="59" applyNumberFormat="1" applyFont="1" applyBorder="1" applyAlignment="1" applyProtection="1">
      <alignment horizontal="right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5" fillId="36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207" fontId="5" fillId="0" borderId="40" xfId="0" applyNumberFormat="1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left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1" fontId="5" fillId="0" borderId="0" xfId="0" applyNumberFormat="1" applyFont="1" applyAlignment="1" applyProtection="1">
      <alignment horizontal="center" vertical="center"/>
      <protection hidden="1"/>
    </xf>
    <xf numFmtId="210" fontId="5" fillId="0" borderId="0" xfId="0" applyNumberFormat="1" applyFont="1" applyAlignment="1" applyProtection="1">
      <alignment horizontal="center" vertical="center"/>
      <protection hidden="1"/>
    </xf>
    <xf numFmtId="174" fontId="5" fillId="0" borderId="0" xfId="59" applyNumberFormat="1" applyFont="1" applyAlignment="1" applyProtection="1">
      <alignment horizontal="center" vertical="center"/>
      <protection hidden="1"/>
    </xf>
    <xf numFmtId="209" fontId="5" fillId="0" borderId="0" xfId="0" applyNumberFormat="1" applyFont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208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71" fontId="5" fillId="0" borderId="0" xfId="0" applyNumberFormat="1" applyFont="1" applyAlignment="1" applyProtection="1">
      <alignment horizontal="center" vertical="center"/>
      <protection hidden="1"/>
    </xf>
    <xf numFmtId="10" fontId="5" fillId="0" borderId="10" xfId="59" applyNumberFormat="1" applyFont="1" applyBorder="1" applyAlignment="1" applyProtection="1">
      <alignment/>
      <protection hidden="1"/>
    </xf>
    <xf numFmtId="172" fontId="0" fillId="0" borderId="0" xfId="0" applyNumberFormat="1" applyAlignment="1">
      <alignment/>
    </xf>
    <xf numFmtId="171" fontId="18" fillId="0" borderId="11" xfId="0" applyNumberFormat="1" applyFont="1" applyBorder="1" applyAlignment="1" applyProtection="1">
      <alignment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1" fontId="5" fillId="0" borderId="10" xfId="59" applyNumberFormat="1" applyFont="1" applyBorder="1" applyAlignment="1" applyProtection="1">
      <alignment vertical="center"/>
      <protection/>
    </xf>
    <xf numFmtId="171" fontId="5" fillId="0" borderId="11" xfId="59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right"/>
      <protection hidden="1"/>
    </xf>
    <xf numFmtId="10" fontId="110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center"/>
      <protection hidden="1"/>
    </xf>
    <xf numFmtId="177" fontId="5" fillId="0" borderId="11" xfId="0" applyNumberFormat="1" applyFont="1" applyFill="1" applyBorder="1" applyAlignment="1" applyProtection="1">
      <alignment horizontal="center" vertical="center"/>
      <protection hidden="1"/>
    </xf>
    <xf numFmtId="3" fontId="5" fillId="36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41" xfId="0" applyFont="1" applyBorder="1" applyAlignment="1" applyProtection="1">
      <alignment horizontal="center" vertical="center"/>
      <protection/>
    </xf>
    <xf numFmtId="1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215" fontId="5" fillId="0" borderId="42" xfId="0" applyNumberFormat="1" applyFont="1" applyFill="1" applyBorder="1" applyAlignment="1" applyProtection="1">
      <alignment horizontal="center" vertical="center" wrapText="1"/>
      <protection hidden="1"/>
    </xf>
    <xf numFmtId="218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198" fontId="18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27" xfId="0" applyFont="1" applyFill="1" applyBorder="1" applyAlignment="1" applyProtection="1">
      <alignment horizontal="center" vertical="center"/>
      <protection hidden="1"/>
    </xf>
    <xf numFmtId="198" fontId="5" fillId="36" borderId="27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1" xfId="0" applyNumberFormat="1" applyFont="1" applyFill="1" applyBorder="1" applyAlignment="1" applyProtection="1">
      <alignment horizontal="center"/>
      <protection hidden="1"/>
    </xf>
    <xf numFmtId="3" fontId="7" fillId="33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hidden="1"/>
    </xf>
    <xf numFmtId="4" fontId="30" fillId="0" borderId="11" xfId="0" applyNumberFormat="1" applyFont="1" applyFill="1" applyBorder="1" applyAlignment="1" applyProtection="1">
      <alignment horizontal="center"/>
      <protection hidden="1"/>
    </xf>
    <xf numFmtId="4" fontId="5" fillId="0" borderId="11" xfId="0" applyNumberFormat="1" applyFont="1" applyFill="1" applyBorder="1" applyAlignment="1" applyProtection="1">
      <alignment horizontal="center"/>
      <protection hidden="1"/>
    </xf>
    <xf numFmtId="3" fontId="5" fillId="0" borderId="43" xfId="0" applyNumberFormat="1" applyFont="1" applyBorder="1" applyAlignment="1" applyProtection="1">
      <alignment horizontal="center"/>
      <protection hidden="1"/>
    </xf>
    <xf numFmtId="3" fontId="5" fillId="34" borderId="13" xfId="0" applyNumberFormat="1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center"/>
      <protection hidden="1"/>
    </xf>
    <xf numFmtId="176" fontId="5" fillId="34" borderId="14" xfId="0" applyNumberFormat="1" applyFont="1" applyFill="1" applyBorder="1" applyAlignment="1" applyProtection="1">
      <alignment horizontal="center"/>
      <protection hidden="1"/>
    </xf>
    <xf numFmtId="176" fontId="5" fillId="34" borderId="19" xfId="0" applyNumberFormat="1" applyFont="1" applyFill="1" applyBorder="1" applyAlignment="1" applyProtection="1">
      <alignment horizontal="center"/>
      <protection hidden="1"/>
    </xf>
    <xf numFmtId="194" fontId="12" fillId="32" borderId="10" xfId="0" applyNumberFormat="1" applyFont="1" applyFill="1" applyBorder="1" applyAlignment="1" applyProtection="1">
      <alignment vertical="center"/>
      <protection locked="0"/>
    </xf>
    <xf numFmtId="219" fontId="5" fillId="0" borderId="10" xfId="0" applyNumberFormat="1" applyFont="1" applyBorder="1" applyAlignment="1" applyProtection="1">
      <alignment vertical="top" wrapText="1"/>
      <protection hidden="1"/>
    </xf>
    <xf numFmtId="219" fontId="5" fillId="0" borderId="10" xfId="0" applyNumberFormat="1" applyFont="1" applyBorder="1" applyAlignment="1" applyProtection="1">
      <alignment vertical="top"/>
      <protection hidden="1"/>
    </xf>
    <xf numFmtId="219" fontId="5" fillId="0" borderId="10" xfId="0" applyNumberFormat="1" applyFont="1" applyBorder="1" applyAlignment="1" applyProtection="1">
      <alignment vertical="center"/>
      <protection hidden="1"/>
    </xf>
    <xf numFmtId="194" fontId="12" fillId="32" borderId="10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2" xfId="0" applyNumberFormat="1" applyFont="1" applyFill="1" applyBorder="1" applyAlignment="1" applyProtection="1">
      <alignment horizontal="left" vertical="center"/>
      <protection hidden="1"/>
    </xf>
    <xf numFmtId="3" fontId="18" fillId="0" borderId="12" xfId="0" applyNumberFormat="1" applyFont="1" applyBorder="1" applyAlignment="1" applyProtection="1">
      <alignment horizontal="left" vertical="center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3" fontId="12" fillId="34" borderId="0" xfId="0" applyNumberFormat="1" applyFont="1" applyFill="1" applyBorder="1" applyAlignment="1" applyProtection="1">
      <alignment horizontal="center"/>
      <protection hidden="1"/>
    </xf>
    <xf numFmtId="3" fontId="7" fillId="0" borderId="11" xfId="0" applyNumberFormat="1" applyFont="1" applyFill="1" applyBorder="1" applyAlignment="1" applyProtection="1">
      <alignment horizontal="center"/>
      <protection hidden="1"/>
    </xf>
    <xf numFmtId="3" fontId="5" fillId="33" borderId="11" xfId="0" applyNumberFormat="1" applyFont="1" applyFill="1" applyBorder="1" applyAlignment="1" applyProtection="1">
      <alignment horizontal="center"/>
      <protection hidden="1"/>
    </xf>
    <xf numFmtId="3" fontId="12" fillId="34" borderId="14" xfId="0" applyNumberFormat="1" applyFont="1" applyFill="1" applyBorder="1" applyAlignment="1" applyProtection="1">
      <alignment horizontal="center"/>
      <protection hidden="1"/>
    </xf>
    <xf numFmtId="3" fontId="12" fillId="34" borderId="22" xfId="0" applyNumberFormat="1" applyFont="1" applyFill="1" applyBorder="1" applyAlignment="1" applyProtection="1">
      <alignment horizontal="center"/>
      <protection hidden="1"/>
    </xf>
    <xf numFmtId="3" fontId="5" fillId="33" borderId="22" xfId="0" applyNumberFormat="1" applyFont="1" applyFill="1" applyBorder="1" applyAlignment="1" applyProtection="1">
      <alignment horizontal="center"/>
      <protection hidden="1"/>
    </xf>
    <xf numFmtId="3" fontId="5" fillId="33" borderId="44" xfId="0" applyNumberFormat="1" applyFont="1" applyFill="1" applyBorder="1" applyAlignment="1" applyProtection="1">
      <alignment horizontal="center"/>
      <protection hidden="1"/>
    </xf>
    <xf numFmtId="3" fontId="12" fillId="34" borderId="19" xfId="0" applyNumberFormat="1" applyFont="1" applyFill="1" applyBorder="1" applyAlignment="1" applyProtection="1">
      <alignment horizontal="center"/>
      <protection hidden="1"/>
    </xf>
    <xf numFmtId="3" fontId="30" fillId="0" borderId="15" xfId="0" applyNumberFormat="1" applyFont="1" applyFill="1" applyBorder="1" applyAlignment="1" applyProtection="1">
      <alignment horizontal="left"/>
      <protection hidden="1"/>
    </xf>
    <xf numFmtId="0" fontId="30" fillId="0" borderId="15" xfId="0" applyFont="1" applyFill="1" applyBorder="1" applyAlignment="1" applyProtection="1">
      <alignment horizontal="right"/>
      <protection hidden="1"/>
    </xf>
    <xf numFmtId="0" fontId="5" fillId="0" borderId="15" xfId="0" applyFont="1" applyFill="1" applyBorder="1" applyAlignment="1" applyProtection="1">
      <alignment horizontal="right"/>
      <protection hidden="1"/>
    </xf>
    <xf numFmtId="0" fontId="5" fillId="0" borderId="45" xfId="0" applyFont="1" applyFill="1" applyBorder="1" applyAlignment="1" applyProtection="1">
      <alignment horizontal="right"/>
      <protection hidden="1"/>
    </xf>
    <xf numFmtId="3" fontId="5" fillId="0" borderId="46" xfId="0" applyNumberFormat="1" applyFont="1" applyBorder="1" applyAlignment="1" applyProtection="1">
      <alignment horizontal="center"/>
      <protection hidden="1"/>
    </xf>
    <xf numFmtId="3" fontId="5" fillId="34" borderId="46" xfId="0" applyNumberFormat="1" applyFont="1" applyFill="1" applyBorder="1" applyAlignment="1" applyProtection="1">
      <alignment horizontal="center"/>
      <protection hidden="1"/>
    </xf>
    <xf numFmtId="3" fontId="5" fillId="0" borderId="47" xfId="0" applyNumberFormat="1" applyFont="1" applyBorder="1" applyAlignment="1" applyProtection="1">
      <alignment horizontal="center"/>
      <protection hidden="1"/>
    </xf>
    <xf numFmtId="3" fontId="5" fillId="0" borderId="48" xfId="0" applyNumberFormat="1" applyFont="1" applyBorder="1" applyAlignment="1" applyProtection="1">
      <alignment horizontal="center"/>
      <protection hidden="1"/>
    </xf>
    <xf numFmtId="3" fontId="5" fillId="0" borderId="28" xfId="0" applyNumberFormat="1" applyFont="1" applyBorder="1" applyAlignment="1" applyProtection="1">
      <alignment horizontal="left"/>
      <protection hidden="1"/>
    </xf>
    <xf numFmtId="3" fontId="15" fillId="34" borderId="18" xfId="0" applyNumberFormat="1" applyFont="1" applyFill="1" applyBorder="1" applyAlignment="1" applyProtection="1">
      <alignment horizontal="center"/>
      <protection hidden="1"/>
    </xf>
    <xf numFmtId="176" fontId="5" fillId="0" borderId="18" xfId="0" applyNumberFormat="1" applyFont="1" applyBorder="1" applyAlignment="1" applyProtection="1">
      <alignment horizontal="center"/>
      <protection hidden="1"/>
    </xf>
    <xf numFmtId="176" fontId="5" fillId="0" borderId="42" xfId="0" applyNumberFormat="1" applyFont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left"/>
      <protection hidden="1"/>
    </xf>
    <xf numFmtId="3" fontId="15" fillId="34" borderId="14" xfId="0" applyNumberFormat="1" applyFont="1" applyFill="1" applyBorder="1" applyAlignment="1" applyProtection="1">
      <alignment horizontal="center"/>
      <protection hidden="1"/>
    </xf>
    <xf numFmtId="176" fontId="5" fillId="0" borderId="14" xfId="0" applyNumberFormat="1" applyFont="1" applyBorder="1" applyAlignment="1" applyProtection="1">
      <alignment horizontal="center"/>
      <protection hidden="1"/>
    </xf>
    <xf numFmtId="176" fontId="5" fillId="0" borderId="19" xfId="0" applyNumberFormat="1" applyFont="1" applyBorder="1" applyAlignment="1" applyProtection="1">
      <alignment horizontal="center"/>
      <protection hidden="1"/>
    </xf>
    <xf numFmtId="3" fontId="30" fillId="0" borderId="0" xfId="0" applyNumberFormat="1" applyFont="1" applyFill="1" applyBorder="1" applyAlignment="1" applyProtection="1">
      <alignment horizontal="left"/>
      <protection hidden="1"/>
    </xf>
    <xf numFmtId="0" fontId="7" fillId="0" borderId="24" xfId="0" applyFont="1" applyFill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/>
      <protection hidden="1"/>
    </xf>
    <xf numFmtId="172" fontId="10" fillId="0" borderId="17" xfId="0" applyNumberFormat="1" applyFont="1" applyBorder="1" applyAlignment="1" applyProtection="1">
      <alignment vertical="center"/>
      <protection hidden="1"/>
    </xf>
    <xf numFmtId="172" fontId="10" fillId="0" borderId="14" xfId="0" applyNumberFormat="1" applyFont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3" fontId="39" fillId="0" borderId="10" xfId="0" applyNumberFormat="1" applyFont="1" applyFill="1" applyBorder="1" applyAlignment="1" applyProtection="1">
      <alignment vertical="center"/>
      <protection hidden="1"/>
    </xf>
    <xf numFmtId="3" fontId="42" fillId="0" borderId="10" xfId="0" applyNumberFormat="1" applyFont="1" applyFill="1" applyBorder="1" applyAlignment="1" applyProtection="1">
      <alignment vertical="center"/>
      <protection hidden="1"/>
    </xf>
    <xf numFmtId="0" fontId="37" fillId="0" borderId="10" xfId="0" applyFont="1" applyBorder="1" applyAlignment="1" applyProtection="1">
      <alignment vertical="center"/>
      <protection hidden="1"/>
    </xf>
    <xf numFmtId="0" fontId="40" fillId="0" borderId="10" xfId="0" applyFont="1" applyBorder="1" applyAlignment="1" applyProtection="1">
      <alignment vertical="center"/>
      <protection hidden="1"/>
    </xf>
    <xf numFmtId="2" fontId="18" fillId="32" borderId="10" xfId="0" applyNumberFormat="1" applyFont="1" applyFill="1" applyBorder="1" applyAlignment="1" applyProtection="1">
      <alignment vertical="center"/>
      <protection locked="0"/>
    </xf>
    <xf numFmtId="2" fontId="18" fillId="32" borderId="11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/>
      <protection hidden="1"/>
    </xf>
    <xf numFmtId="3" fontId="5" fillId="34" borderId="11" xfId="0" applyNumberFormat="1" applyFont="1" applyFill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left"/>
      <protection hidden="1"/>
    </xf>
    <xf numFmtId="3" fontId="10" fillId="33" borderId="14" xfId="0" applyNumberFormat="1" applyFont="1" applyFill="1" applyBorder="1" applyAlignment="1" applyProtection="1">
      <alignment horizontal="center"/>
      <protection hidden="1"/>
    </xf>
    <xf numFmtId="3" fontId="10" fillId="33" borderId="19" xfId="0" applyNumberFormat="1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/>
      <protection hidden="1"/>
    </xf>
    <xf numFmtId="10" fontId="17" fillId="0" borderId="10" xfId="59" applyNumberFormat="1" applyFont="1" applyFill="1" applyBorder="1" applyAlignment="1" applyProtection="1">
      <alignment horizontal="center" vertical="center"/>
      <protection/>
    </xf>
    <xf numFmtId="10" fontId="15" fillId="0" borderId="11" xfId="59" applyNumberFormat="1" applyFont="1" applyFill="1" applyBorder="1" applyAlignment="1" applyProtection="1">
      <alignment horizontal="center" vertical="center"/>
      <protection/>
    </xf>
    <xf numFmtId="10" fontId="17" fillId="0" borderId="11" xfId="5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12" fillId="35" borderId="44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vertical="center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22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3" fontId="15" fillId="33" borderId="10" xfId="0" applyNumberFormat="1" applyFont="1" applyFill="1" applyBorder="1" applyAlignment="1" applyProtection="1">
      <alignment horizontal="center" vertical="center"/>
      <protection locked="0"/>
    </xf>
    <xf numFmtId="3" fontId="15" fillId="33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33" borderId="24" xfId="0" applyNumberFormat="1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vertical="center"/>
      <protection/>
    </xf>
    <xf numFmtId="10" fontId="123" fillId="32" borderId="24" xfId="59" applyNumberFormat="1" applyFont="1" applyFill="1" applyBorder="1" applyAlignment="1" applyProtection="1">
      <alignment horizontal="center" vertical="center"/>
      <protection/>
    </xf>
    <xf numFmtId="10" fontId="123" fillId="32" borderId="11" xfId="59" applyNumberFormat="1" applyFont="1" applyFill="1" applyBorder="1" applyAlignment="1" applyProtection="1">
      <alignment horizontal="center" vertical="center"/>
      <protection/>
    </xf>
    <xf numFmtId="0" fontId="122" fillId="34" borderId="10" xfId="0" applyFont="1" applyFill="1" applyBorder="1" applyAlignment="1" applyProtection="1">
      <alignment horizontal="left" vertical="center"/>
      <protection/>
    </xf>
    <xf numFmtId="4" fontId="15" fillId="33" borderId="24" xfId="0" applyNumberFormat="1" applyFont="1" applyFill="1" applyBorder="1" applyAlignment="1" applyProtection="1">
      <alignment horizontal="center" vertical="center"/>
      <protection locked="0"/>
    </xf>
    <xf numFmtId="4" fontId="15" fillId="33" borderId="11" xfId="0" applyNumberFormat="1" applyFont="1" applyFill="1" applyBorder="1" applyAlignment="1" applyProtection="1">
      <alignment horizontal="center" vertical="center"/>
      <protection locked="0"/>
    </xf>
    <xf numFmtId="10" fontId="15" fillId="33" borderId="24" xfId="59" applyNumberFormat="1" applyFont="1" applyFill="1" applyBorder="1" applyAlignment="1" applyProtection="1">
      <alignment horizontal="center" vertical="center"/>
      <protection locked="0"/>
    </xf>
    <xf numFmtId="10" fontId="15" fillId="33" borderId="11" xfId="59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/>
    </xf>
    <xf numFmtId="10" fontId="15" fillId="0" borderId="10" xfId="59" applyNumberFormat="1" applyFont="1" applyFill="1" applyBorder="1" applyAlignment="1" applyProtection="1">
      <alignment horizontal="center" vertical="center"/>
      <protection/>
    </xf>
    <xf numFmtId="3" fontId="124" fillId="0" borderId="10" xfId="0" applyNumberFormat="1" applyFont="1" applyFill="1" applyBorder="1" applyAlignment="1" applyProtection="1">
      <alignment horizontal="right" vertical="center"/>
      <protection/>
    </xf>
    <xf numFmtId="3" fontId="124" fillId="0" borderId="11" xfId="0" applyNumberFormat="1" applyFont="1" applyFill="1" applyBorder="1" applyAlignment="1" applyProtection="1">
      <alignment horizontal="right" vertical="center"/>
      <protection/>
    </xf>
    <xf numFmtId="0" fontId="117" fillId="34" borderId="30" xfId="0" applyFont="1" applyFill="1" applyBorder="1" applyAlignment="1" applyProtection="1">
      <alignment horizontal="left" vertical="center"/>
      <protection/>
    </xf>
    <xf numFmtId="0" fontId="5" fillId="36" borderId="10" xfId="0" applyFont="1" applyFill="1" applyBorder="1" applyAlignment="1" applyProtection="1">
      <alignment horizontal="left" vertical="center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left" vertical="center"/>
      <protection/>
    </xf>
    <xf numFmtId="3" fontId="15" fillId="0" borderId="24" xfId="0" applyNumberFormat="1" applyFont="1" applyFill="1" applyBorder="1" applyAlignment="1" applyProtection="1">
      <alignment horizontal="center" vertical="center"/>
      <protection/>
    </xf>
    <xf numFmtId="0" fontId="5" fillId="36" borderId="5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3" fontId="15" fillId="0" borderId="24" xfId="0" applyNumberFormat="1" applyFont="1" applyFill="1" applyBorder="1" applyAlignment="1" applyProtection="1">
      <alignment horizontal="center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34" borderId="51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4" fontId="5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125" fillId="34" borderId="30" xfId="0" applyFont="1" applyFill="1" applyBorder="1" applyAlignment="1" applyProtection="1">
      <alignment horizontal="left" vertical="center"/>
      <protection/>
    </xf>
    <xf numFmtId="0" fontId="125" fillId="34" borderId="30" xfId="0" applyFont="1" applyFill="1" applyBorder="1" applyAlignment="1" applyProtection="1">
      <alignment horizontal="center" vertical="center"/>
      <protection/>
    </xf>
    <xf numFmtId="0" fontId="125" fillId="34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222" fontId="18" fillId="36" borderId="27" xfId="0" applyNumberFormat="1" applyFont="1" applyFill="1" applyBorder="1" applyAlignment="1" applyProtection="1">
      <alignment horizontal="center" vertical="center" wrapText="1"/>
      <protection hidden="1"/>
    </xf>
    <xf numFmtId="222" fontId="5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17" xfId="0" applyFont="1" applyFill="1" applyBorder="1" applyAlignment="1" applyProtection="1">
      <alignment horizontal="center"/>
      <protection hidden="1"/>
    </xf>
    <xf numFmtId="0" fontId="12" fillId="35" borderId="27" xfId="0" applyFont="1" applyFill="1" applyBorder="1" applyAlignment="1" applyProtection="1">
      <alignment horizontal="center"/>
      <protection hidden="1"/>
    </xf>
    <xf numFmtId="180" fontId="5" fillId="0" borderId="29" xfId="0" applyNumberFormat="1" applyFont="1" applyFill="1" applyBorder="1" applyAlignment="1" applyProtection="1">
      <alignment horizontal="center" vertical="center"/>
      <protection hidden="1"/>
    </xf>
    <xf numFmtId="181" fontId="5" fillId="0" borderId="17" xfId="0" applyNumberFormat="1" applyFont="1" applyBorder="1" applyAlignment="1" applyProtection="1">
      <alignment horizontal="center" vertical="center"/>
      <protection hidden="1"/>
    </xf>
    <xf numFmtId="222" fontId="11" fillId="0" borderId="42" xfId="0" applyNumberFormat="1" applyFont="1" applyFill="1" applyBorder="1" applyAlignment="1" applyProtection="1">
      <alignment horizontal="center" vertical="center"/>
      <protection/>
    </xf>
    <xf numFmtId="3" fontId="5" fillId="37" borderId="11" xfId="0" applyNumberFormat="1" applyFont="1" applyFill="1" applyBorder="1" applyAlignment="1" applyProtection="1">
      <alignment vertical="center"/>
      <protection hidden="1"/>
    </xf>
    <xf numFmtId="192" fontId="15" fillId="37" borderId="17" xfId="0" applyNumberFormat="1" applyFont="1" applyFill="1" applyBorder="1" applyAlignment="1" applyProtection="1">
      <alignment vertical="center" wrapText="1"/>
      <protection locked="0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80" fontId="7" fillId="0" borderId="18" xfId="0" applyNumberFormat="1" applyFont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179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224" fontId="7" fillId="0" borderId="52" xfId="0" applyNumberFormat="1" applyFont="1" applyBorder="1" applyAlignment="1" applyProtection="1">
      <alignment horizontal="center" vertical="center"/>
      <protection hidden="1"/>
    </xf>
    <xf numFmtId="224" fontId="7" fillId="0" borderId="53" xfId="0" applyNumberFormat="1" applyFont="1" applyBorder="1" applyAlignment="1" applyProtection="1">
      <alignment horizontal="center" vertical="center"/>
      <protection hidden="1"/>
    </xf>
    <xf numFmtId="224" fontId="7" fillId="0" borderId="54" xfId="0" applyNumberFormat="1" applyFont="1" applyBorder="1" applyAlignment="1" applyProtection="1">
      <alignment horizontal="center" vertical="center"/>
      <protection hidden="1"/>
    </xf>
    <xf numFmtId="3" fontId="5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Border="1" applyAlignment="1" applyProtection="1">
      <alignment horizontal="center" vertical="top" wrapText="1"/>
      <protection/>
    </xf>
    <xf numFmtId="3" fontId="7" fillId="0" borderId="19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3" fontId="5" fillId="3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3" borderId="15" xfId="0" applyNumberFormat="1" applyFont="1" applyFill="1" applyBorder="1" applyAlignment="1" applyProtection="1">
      <alignment horizontal="right" vertical="top" wrapText="1"/>
      <protection locked="0"/>
    </xf>
    <xf numFmtId="3" fontId="5" fillId="33" borderId="37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3" fontId="5" fillId="0" borderId="11" xfId="0" applyNumberFormat="1" applyFont="1" applyBorder="1" applyAlignment="1" applyProtection="1">
      <alignment horizontal="right" vertical="top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5" fillId="33" borderId="2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187" fontId="5" fillId="0" borderId="0" xfId="0" applyNumberFormat="1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96" fontId="5" fillId="0" borderId="18" xfId="0" applyNumberFormat="1" applyFont="1" applyFill="1" applyBorder="1" applyAlignment="1" applyProtection="1">
      <alignment horizontal="center" vertical="center" wrapText="1"/>
      <protection/>
    </xf>
    <xf numFmtId="215" fontId="5" fillId="0" borderId="18" xfId="0" applyNumberFormat="1" applyFont="1" applyFill="1" applyBorder="1" applyAlignment="1" applyProtection="1">
      <alignment horizontal="center" vertical="center" wrapText="1"/>
      <protection/>
    </xf>
    <xf numFmtId="215" fontId="5" fillId="0" borderId="42" xfId="0" applyNumberFormat="1" applyFont="1" applyFill="1" applyBorder="1" applyAlignment="1" applyProtection="1">
      <alignment horizontal="center" vertical="center" wrapText="1"/>
      <protection/>
    </xf>
    <xf numFmtId="168" fontId="12" fillId="0" borderId="10" xfId="0" applyNumberFormat="1" applyFont="1" applyFill="1" applyBorder="1" applyAlignment="1" applyProtection="1">
      <alignment horizontal="center" vertical="justify"/>
      <protection/>
    </xf>
    <xf numFmtId="168" fontId="12" fillId="0" borderId="11" xfId="0" applyNumberFormat="1" applyFont="1" applyFill="1" applyBorder="1" applyAlignment="1" applyProtection="1">
      <alignment horizontal="center" vertical="justify"/>
      <protection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183" fontId="5" fillId="0" borderId="18" xfId="0" applyNumberFormat="1" applyFont="1" applyFill="1" applyBorder="1" applyAlignment="1" applyProtection="1">
      <alignment horizontal="center" vertical="center" wrapText="1"/>
      <protection/>
    </xf>
    <xf numFmtId="183" fontId="5" fillId="0" borderId="42" xfId="0" applyNumberFormat="1" applyFont="1" applyFill="1" applyBorder="1" applyAlignment="1" applyProtection="1">
      <alignment horizontal="center" vertical="center" wrapText="1"/>
      <protection/>
    </xf>
    <xf numFmtId="189" fontId="11" fillId="0" borderId="0" xfId="0" applyNumberFormat="1" applyFont="1" applyBorder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horizontal="left"/>
      <protection/>
    </xf>
    <xf numFmtId="3" fontId="5" fillId="34" borderId="55" xfId="0" applyNumberFormat="1" applyFont="1" applyFill="1" applyBorder="1" applyAlignment="1" applyProtection="1">
      <alignment horizontal="center" vertical="center" textRotation="90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5" fillId="0" borderId="13" xfId="0" applyFont="1" applyBorder="1" applyAlignment="1" applyProtection="1">
      <alignment horizontal="center" vertical="center" textRotation="90"/>
      <protection/>
    </xf>
    <xf numFmtId="184" fontId="5" fillId="0" borderId="0" xfId="0" applyNumberFormat="1" applyFont="1" applyBorder="1" applyAlignment="1" applyProtection="1">
      <alignment horizontal="center" vertical="top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216" fontId="5" fillId="0" borderId="18" xfId="0" applyNumberFormat="1" applyFont="1" applyBorder="1" applyAlignment="1" applyProtection="1">
      <alignment horizontal="center" vertical="center" wrapText="1"/>
      <protection/>
    </xf>
    <xf numFmtId="216" fontId="5" fillId="0" borderId="4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justify"/>
      <protection hidden="1"/>
    </xf>
    <xf numFmtId="217" fontId="26" fillId="0" borderId="0" xfId="0" applyNumberFormat="1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40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 applyProtection="1">
      <alignment horizontal="left"/>
      <protection hidden="1"/>
    </xf>
    <xf numFmtId="0" fontId="7" fillId="0" borderId="58" xfId="0" applyFont="1" applyBorder="1" applyAlignment="1" applyProtection="1">
      <alignment horizontal="left"/>
      <protection hidden="1"/>
    </xf>
    <xf numFmtId="0" fontId="7" fillId="0" borderId="49" xfId="0" applyFont="1" applyBorder="1" applyAlignment="1" applyProtection="1">
      <alignment horizontal="left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185" fontId="5" fillId="0" borderId="29" xfId="0" applyNumberFormat="1" applyFont="1" applyBorder="1" applyAlignment="1" applyProtection="1">
      <alignment horizontal="center" vertical="center" wrapText="1"/>
      <protection hidden="1"/>
    </xf>
    <xf numFmtId="185" fontId="5" fillId="0" borderId="17" xfId="0" applyNumberFormat="1" applyFont="1" applyBorder="1" applyAlignment="1" applyProtection="1">
      <alignment horizontal="center" vertical="center" wrapText="1"/>
      <protection hidden="1"/>
    </xf>
    <xf numFmtId="179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0" fillId="0" borderId="52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alignment horizontal="center" vertical="center" wrapText="1"/>
      <protection hidden="1"/>
    </xf>
    <xf numFmtId="0" fontId="12" fillId="35" borderId="24" xfId="0" applyFont="1" applyFill="1" applyBorder="1" applyAlignment="1" applyProtection="1">
      <alignment horizontal="center" vertical="center" wrapText="1"/>
      <protection hidden="1"/>
    </xf>
    <xf numFmtId="0" fontId="12" fillId="35" borderId="40" xfId="0" applyFont="1" applyFill="1" applyBorder="1" applyAlignment="1" applyProtection="1">
      <alignment horizontal="center" vertical="center" wrapText="1"/>
      <protection hidden="1"/>
    </xf>
    <xf numFmtId="0" fontId="12" fillId="35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179" fontId="8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220" fontId="32" fillId="32" borderId="29" xfId="0" applyNumberFormat="1" applyFont="1" applyFill="1" applyBorder="1" applyAlignment="1" applyProtection="1">
      <alignment horizontal="center" vertical="center"/>
      <protection locked="0"/>
    </xf>
    <xf numFmtId="220" fontId="32" fillId="32" borderId="17" xfId="0" applyNumberFormat="1" applyFont="1" applyFill="1" applyBorder="1" applyAlignment="1" applyProtection="1">
      <alignment horizontal="center" vertical="center"/>
      <protection locked="0"/>
    </xf>
    <xf numFmtId="221" fontId="32" fillId="0" borderId="29" xfId="0" applyNumberFormat="1" applyFont="1" applyFill="1" applyBorder="1" applyAlignment="1" applyProtection="1">
      <alignment horizontal="center" vertical="center"/>
      <protection hidden="1"/>
    </xf>
    <xf numFmtId="221" fontId="32" fillId="0" borderId="17" xfId="0" applyNumberFormat="1" applyFont="1" applyFill="1" applyBorder="1" applyAlignment="1" applyProtection="1">
      <alignment horizontal="center" vertical="center"/>
      <protection hidden="1"/>
    </xf>
    <xf numFmtId="179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justify"/>
      <protection hidden="1"/>
    </xf>
    <xf numFmtId="0" fontId="5" fillId="0" borderId="61" xfId="0" applyFont="1" applyBorder="1" applyAlignment="1" applyProtection="1">
      <alignment horizontal="center" vertical="justify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3" fontId="12" fillId="34" borderId="62" xfId="0" applyNumberFormat="1" applyFont="1" applyFill="1" applyBorder="1" applyAlignment="1" applyProtection="1">
      <alignment horizontal="center" vertical="center" textRotation="75"/>
      <protection hidden="1"/>
    </xf>
    <xf numFmtId="3" fontId="12" fillId="34" borderId="43" xfId="0" applyNumberFormat="1" applyFont="1" applyFill="1" applyBorder="1" applyAlignment="1" applyProtection="1">
      <alignment horizontal="center" vertical="center" textRotation="75"/>
      <protection hidden="1"/>
    </xf>
    <xf numFmtId="0" fontId="5" fillId="0" borderId="62" xfId="0" applyFont="1" applyBorder="1" applyAlignment="1" applyProtection="1">
      <alignment horizontal="center" vertical="justify"/>
      <protection hidden="1"/>
    </xf>
    <xf numFmtId="0" fontId="5" fillId="0" borderId="34" xfId="0" applyFont="1" applyBorder="1" applyAlignment="1" applyProtection="1">
      <alignment horizontal="center" vertical="justify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justify"/>
      <protection hidden="1"/>
    </xf>
    <xf numFmtId="0" fontId="5" fillId="0" borderId="46" xfId="0" applyFont="1" applyBorder="1" applyAlignment="1" applyProtection="1">
      <alignment horizontal="center" vertical="justify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79" fontId="8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211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212" fontId="7" fillId="0" borderId="24" xfId="0" applyNumberFormat="1" applyFont="1" applyBorder="1" applyAlignment="1" applyProtection="1">
      <alignment horizontal="center" vertical="center"/>
      <protection hidden="1"/>
    </xf>
    <xf numFmtId="212" fontId="7" fillId="0" borderId="40" xfId="0" applyNumberFormat="1" applyFont="1" applyBorder="1" applyAlignment="1" applyProtection="1">
      <alignment horizontal="center" vertical="center"/>
      <protection hidden="1"/>
    </xf>
    <xf numFmtId="212" fontId="7" fillId="0" borderId="15" xfId="0" applyNumberFormat="1" applyFont="1" applyBorder="1" applyAlignment="1" applyProtection="1">
      <alignment horizontal="center" vertical="center"/>
      <protection hidden="1"/>
    </xf>
    <xf numFmtId="213" fontId="7" fillId="0" borderId="24" xfId="0" applyNumberFormat="1" applyFont="1" applyBorder="1" applyAlignment="1" applyProtection="1">
      <alignment horizontal="center" vertical="center"/>
      <protection hidden="1"/>
    </xf>
    <xf numFmtId="213" fontId="7" fillId="0" borderId="40" xfId="0" applyNumberFormat="1" applyFont="1" applyBorder="1" applyAlignment="1" applyProtection="1">
      <alignment horizontal="center" vertical="center"/>
      <protection hidden="1"/>
    </xf>
    <xf numFmtId="213" fontId="7" fillId="0" borderId="15" xfId="0" applyNumberFormat="1" applyFont="1" applyBorder="1" applyAlignment="1" applyProtection="1">
      <alignment horizontal="center" vertical="center"/>
      <protection hidden="1"/>
    </xf>
    <xf numFmtId="170" fontId="5" fillId="36" borderId="22" xfId="0" applyNumberFormat="1" applyFont="1" applyFill="1" applyBorder="1" applyAlignment="1" applyProtection="1">
      <alignment horizontal="center" vertical="center"/>
      <protection hidden="1"/>
    </xf>
    <xf numFmtId="170" fontId="5" fillId="36" borderId="23" xfId="0" applyNumberFormat="1" applyFont="1" applyFill="1" applyBorder="1" applyAlignment="1" applyProtection="1">
      <alignment horizontal="center" vertical="center"/>
      <protection hidden="1"/>
    </xf>
    <xf numFmtId="170" fontId="5" fillId="36" borderId="17" xfId="0" applyNumberFormat="1" applyFont="1" applyFill="1" applyBorder="1" applyAlignment="1" applyProtection="1">
      <alignment horizontal="center" vertical="center"/>
      <protection hidden="1"/>
    </xf>
    <xf numFmtId="4" fontId="5" fillId="36" borderId="22" xfId="0" applyNumberFormat="1" applyFont="1" applyFill="1" applyBorder="1" applyAlignment="1" applyProtection="1">
      <alignment horizontal="center" vertical="center"/>
      <protection locked="0"/>
    </xf>
    <xf numFmtId="4" fontId="5" fillId="36" borderId="23" xfId="0" applyNumberFormat="1" applyFont="1" applyFill="1" applyBorder="1" applyAlignment="1" applyProtection="1">
      <alignment horizontal="center" vertical="center"/>
      <protection locked="0"/>
    </xf>
    <xf numFmtId="4" fontId="5" fillId="36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206" fontId="7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 horizontal="center"/>
      <protection hidden="1"/>
    </xf>
    <xf numFmtId="214" fontId="7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5" fillId="0" borderId="23" xfId="0" applyFont="1" applyBorder="1" applyAlignment="1" applyProtection="1">
      <alignment vertical="top" wrapText="1"/>
      <protection hidden="1"/>
    </xf>
    <xf numFmtId="0" fontId="5" fillId="0" borderId="17" xfId="0" applyFont="1" applyBorder="1" applyAlignment="1" applyProtection="1">
      <alignment vertical="top" wrapText="1"/>
      <protection hidden="1"/>
    </xf>
    <xf numFmtId="0" fontId="5" fillId="0" borderId="22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223" fontId="7" fillId="0" borderId="50" xfId="0" applyNumberFormat="1" applyFont="1" applyBorder="1" applyAlignment="1" applyProtection="1">
      <alignment horizontal="center" vertical="center"/>
      <protection hidden="1"/>
    </xf>
    <xf numFmtId="223" fontId="7" fillId="0" borderId="45" xfId="0" applyNumberFormat="1" applyFont="1" applyBorder="1" applyAlignment="1" applyProtection="1">
      <alignment horizontal="center" vertical="center"/>
      <protection hidden="1"/>
    </xf>
    <xf numFmtId="223" fontId="7" fillId="0" borderId="30" xfId="0" applyNumberFormat="1" applyFont="1" applyBorder="1" applyAlignment="1" applyProtection="1">
      <alignment horizontal="center" vertical="center"/>
      <protection hidden="1"/>
    </xf>
    <xf numFmtId="223" fontId="7" fillId="0" borderId="31" xfId="0" applyNumberFormat="1" applyFont="1" applyBorder="1" applyAlignment="1" applyProtection="1">
      <alignment horizontal="center" vertical="center"/>
      <protection hidden="1"/>
    </xf>
    <xf numFmtId="219" fontId="7" fillId="0" borderId="10" xfId="0" applyNumberFormat="1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04" fillId="0" borderId="22" xfId="0" applyFont="1" applyBorder="1" applyAlignment="1" applyProtection="1">
      <alignment vertical="top" wrapText="1"/>
      <protection hidden="1"/>
    </xf>
    <xf numFmtId="0" fontId="104" fillId="0" borderId="23" xfId="0" applyFont="1" applyBorder="1" applyAlignment="1" applyProtection="1">
      <alignment vertical="top" wrapText="1"/>
      <protection hidden="1"/>
    </xf>
    <xf numFmtId="0" fontId="104" fillId="0" borderId="17" xfId="0" applyFont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107" fillId="0" borderId="10" xfId="0" applyFont="1" applyBorder="1" applyAlignment="1" applyProtection="1">
      <alignment vertical="top"/>
      <protection hidden="1"/>
    </xf>
    <xf numFmtId="0" fontId="112" fillId="0" borderId="10" xfId="0" applyFont="1" applyBorder="1" applyAlignment="1" applyProtection="1">
      <alignment horizontal="left" vertical="top"/>
      <protection hidden="1"/>
    </xf>
    <xf numFmtId="0" fontId="10" fillId="38" borderId="10" xfId="0" applyFont="1" applyFill="1" applyBorder="1" applyAlignment="1" applyProtection="1">
      <alignment vertical="center"/>
      <protection/>
    </xf>
    <xf numFmtId="0" fontId="126" fillId="38" borderId="10" xfId="0" applyFont="1" applyFill="1" applyBorder="1" applyAlignment="1">
      <alignment/>
    </xf>
    <xf numFmtId="0" fontId="12" fillId="38" borderId="10" xfId="0" applyFont="1" applyFill="1" applyBorder="1" applyAlignment="1" applyProtection="1">
      <alignment horizontal="center" vertical="center"/>
      <protection/>
    </xf>
    <xf numFmtId="0" fontId="124" fillId="38" borderId="10" xfId="0" applyFont="1" applyFill="1" applyBorder="1" applyAlignment="1" applyProtection="1">
      <alignment horizontal="center" vertical="center"/>
      <protection/>
    </xf>
    <xf numFmtId="0" fontId="127" fillId="38" borderId="10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171" fontId="116" fillId="38" borderId="10" xfId="0" applyNumberFormat="1" applyFont="1" applyFill="1" applyBorder="1" applyAlignment="1" applyProtection="1">
      <alignment vertical="center"/>
      <protection/>
    </xf>
    <xf numFmtId="171" fontId="116" fillId="38" borderId="11" xfId="0" applyNumberFormat="1" applyFont="1" applyFill="1" applyBorder="1" applyAlignment="1" applyProtection="1">
      <alignment vertical="center"/>
      <protection/>
    </xf>
    <xf numFmtId="3" fontId="13" fillId="38" borderId="15" xfId="0" applyNumberFormat="1" applyFont="1" applyFill="1" applyBorder="1" applyAlignment="1" applyProtection="1">
      <alignment vertical="center"/>
      <protection hidden="1"/>
    </xf>
    <xf numFmtId="3" fontId="13" fillId="38" borderId="37" xfId="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-10-2011\Name-TIP-PROGNOZA-2010-01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-2012\N_tables-add-DVG&amp;GT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-РБА"/>
      <sheetName val="К&amp;Л ДОГ"/>
      <sheetName val="ОБЩА"/>
      <sheetName val="ДВГ"/>
      <sheetName val="ТГ&amp;ГТ(ПГЦ)"/>
      <sheetName val="ГТ(КУ)"/>
      <sheetName val="ВК&amp;ППК"/>
    </sheetNames>
    <sheetDataSet>
      <sheetData sheetId="2">
        <row r="73">
          <cell r="B73" t="str">
            <v>/ Xxx                  /</v>
          </cell>
          <cell r="D73" t="str">
            <v>/ Xxxxxx                 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Разходи-Произв."/>
      <sheetName val="Разходи-Пренос"/>
      <sheetName val="РБА"/>
      <sheetName val="НВ"/>
      <sheetName val="ТИП-ПРОИЗ"/>
      <sheetName val="ТИП-ПРЕНОС"/>
      <sheetName val="Коефициенти"/>
      <sheetName val="Спецификация"/>
      <sheetName val="ДВГ"/>
      <sheetName val="ГТ(КУ)"/>
      <sheetName val="ВК"/>
      <sheetName val="ППК"/>
    </sheetNames>
    <sheetDataSet>
      <sheetData sheetId="1">
        <row r="79">
          <cell r="A79" t="str">
            <v>Гл. счетоводител:</v>
          </cell>
          <cell r="E79" t="str">
            <v>Изп. директор: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4"/>
  <sheetViews>
    <sheetView zoomScalePageLayoutView="0" workbookViewId="0" topLeftCell="A16">
      <selection activeCell="C25" sqref="C25"/>
    </sheetView>
  </sheetViews>
  <sheetFormatPr defaultColWidth="9.140625" defaultRowHeight="12.75"/>
  <cols>
    <col min="1" max="1" width="9.140625" style="15" customWidth="1"/>
    <col min="2" max="2" width="9.140625" style="47" customWidth="1"/>
    <col min="3" max="16384" width="9.140625" style="15" customWidth="1"/>
  </cols>
  <sheetData>
    <row r="3" spans="2:8" ht="12.75">
      <c r="B3" s="673" t="s">
        <v>354</v>
      </c>
      <c r="C3" s="673"/>
      <c r="D3" s="673"/>
      <c r="E3" s="673"/>
      <c r="F3" s="673"/>
      <c r="G3" s="673"/>
      <c r="H3" s="673"/>
    </row>
    <row r="4" spans="2:8" ht="12.75">
      <c r="B4" s="673" t="s">
        <v>355</v>
      </c>
      <c r="C4" s="673"/>
      <c r="D4" s="673"/>
      <c r="E4" s="673"/>
      <c r="F4" s="673"/>
      <c r="G4" s="673"/>
      <c r="H4" s="673"/>
    </row>
    <row r="7" spans="2:3" ht="12.75">
      <c r="B7" s="46">
        <v>1</v>
      </c>
      <c r="C7" s="15" t="s">
        <v>356</v>
      </c>
    </row>
    <row r="8" spans="2:3" ht="12.75">
      <c r="B8" s="47">
        <v>2</v>
      </c>
      <c r="C8" s="15" t="s">
        <v>357</v>
      </c>
    </row>
    <row r="9" spans="2:9" ht="27.75" customHeight="1">
      <c r="B9" s="59">
        <v>3</v>
      </c>
      <c r="C9" s="672" t="s">
        <v>358</v>
      </c>
      <c r="D9" s="672"/>
      <c r="E9" s="672"/>
      <c r="F9" s="672"/>
      <c r="G9" s="672"/>
      <c r="H9" s="672"/>
      <c r="I9" s="672"/>
    </row>
    <row r="10" spans="2:9" ht="39" customHeight="1">
      <c r="B10" s="59">
        <v>4</v>
      </c>
      <c r="C10" s="672" t="s">
        <v>359</v>
      </c>
      <c r="D10" s="672"/>
      <c r="E10" s="672"/>
      <c r="F10" s="672"/>
      <c r="G10" s="672"/>
      <c r="H10" s="672"/>
      <c r="I10" s="672"/>
    </row>
    <row r="11" spans="2:9" ht="28.5" customHeight="1">
      <c r="B11" s="59">
        <v>5</v>
      </c>
      <c r="C11" s="672" t="s">
        <v>360</v>
      </c>
      <c r="D11" s="672"/>
      <c r="E11" s="672"/>
      <c r="F11" s="672"/>
      <c r="G11" s="672"/>
      <c r="H11" s="672"/>
      <c r="I11" s="672"/>
    </row>
    <row r="12" spans="2:9" ht="30" customHeight="1">
      <c r="B12" s="59">
        <v>6</v>
      </c>
      <c r="C12" s="672" t="s">
        <v>361</v>
      </c>
      <c r="D12" s="672"/>
      <c r="E12" s="672"/>
      <c r="F12" s="672"/>
      <c r="G12" s="672"/>
      <c r="H12" s="672"/>
      <c r="I12" s="672"/>
    </row>
    <row r="13" spans="2:9" ht="27" customHeight="1">
      <c r="B13" s="59">
        <v>7</v>
      </c>
      <c r="C13" s="672" t="s">
        <v>362</v>
      </c>
      <c r="D13" s="672"/>
      <c r="E13" s="672"/>
      <c r="F13" s="672"/>
      <c r="G13" s="672"/>
      <c r="H13" s="672"/>
      <c r="I13" s="672"/>
    </row>
    <row r="14" spans="2:9" ht="40.5" customHeight="1">
      <c r="B14" s="59">
        <v>8</v>
      </c>
      <c r="C14" s="672" t="s">
        <v>363</v>
      </c>
      <c r="D14" s="672"/>
      <c r="E14" s="672"/>
      <c r="F14" s="672"/>
      <c r="G14" s="672"/>
      <c r="H14" s="672"/>
      <c r="I14" s="672"/>
    </row>
    <row r="15" spans="2:9" ht="27" customHeight="1">
      <c r="B15" s="59">
        <v>9</v>
      </c>
      <c r="C15" s="672" t="s">
        <v>364</v>
      </c>
      <c r="D15" s="672"/>
      <c r="E15" s="672"/>
      <c r="F15" s="672"/>
      <c r="G15" s="672"/>
      <c r="H15" s="672"/>
      <c r="I15" s="672"/>
    </row>
    <row r="16" spans="2:9" ht="12.75">
      <c r="B16" s="59">
        <v>10</v>
      </c>
      <c r="C16" s="672" t="s">
        <v>365</v>
      </c>
      <c r="D16" s="672"/>
      <c r="E16" s="672"/>
      <c r="F16" s="672"/>
      <c r="G16" s="672"/>
      <c r="H16" s="672"/>
      <c r="I16" s="672"/>
    </row>
    <row r="17" spans="2:9" ht="39" customHeight="1">
      <c r="B17" s="59">
        <v>11</v>
      </c>
      <c r="C17" s="672" t="s">
        <v>366</v>
      </c>
      <c r="D17" s="672"/>
      <c r="E17" s="672"/>
      <c r="F17" s="672"/>
      <c r="G17" s="672"/>
      <c r="H17" s="672"/>
      <c r="I17" s="672"/>
    </row>
    <row r="18" spans="2:9" ht="43.5" customHeight="1">
      <c r="B18" s="59">
        <v>12</v>
      </c>
      <c r="C18" s="672" t="s">
        <v>367</v>
      </c>
      <c r="D18" s="672"/>
      <c r="E18" s="672"/>
      <c r="F18" s="672"/>
      <c r="G18" s="672"/>
      <c r="H18" s="672"/>
      <c r="I18" s="672"/>
    </row>
    <row r="19" spans="2:9" ht="12.75">
      <c r="B19" s="59">
        <v>13</v>
      </c>
      <c r="C19" s="672" t="s">
        <v>368</v>
      </c>
      <c r="D19" s="672"/>
      <c r="E19" s="672"/>
      <c r="F19" s="672"/>
      <c r="G19" s="672"/>
      <c r="H19" s="672"/>
      <c r="I19" s="672"/>
    </row>
    <row r="20" spans="2:9" ht="28.5" customHeight="1">
      <c r="B20" s="59">
        <v>14</v>
      </c>
      <c r="C20" s="672" t="s">
        <v>369</v>
      </c>
      <c r="D20" s="672"/>
      <c r="E20" s="672"/>
      <c r="F20" s="672"/>
      <c r="G20" s="672"/>
      <c r="H20" s="672"/>
      <c r="I20" s="672"/>
    </row>
    <row r="21" spans="2:9" ht="12.75">
      <c r="B21" s="59">
        <v>15</v>
      </c>
      <c r="C21" s="672" t="s">
        <v>370</v>
      </c>
      <c r="D21" s="672"/>
      <c r="E21" s="672"/>
      <c r="F21" s="672"/>
      <c r="G21" s="672"/>
      <c r="H21" s="672"/>
      <c r="I21" s="672"/>
    </row>
    <row r="22" spans="2:9" ht="12.75">
      <c r="B22" s="59">
        <v>16</v>
      </c>
      <c r="C22" s="672" t="s">
        <v>371</v>
      </c>
      <c r="D22" s="672"/>
      <c r="E22" s="672"/>
      <c r="F22" s="672"/>
      <c r="G22" s="672"/>
      <c r="H22" s="672"/>
      <c r="I22" s="672"/>
    </row>
    <row r="23" spans="2:9" ht="12.75">
      <c r="B23" s="59">
        <v>17</v>
      </c>
      <c r="C23" s="672" t="s">
        <v>372</v>
      </c>
      <c r="D23" s="672"/>
      <c r="E23" s="672"/>
      <c r="F23" s="672"/>
      <c r="G23" s="672"/>
      <c r="H23" s="672"/>
      <c r="I23" s="672"/>
    </row>
    <row r="24" spans="2:9" ht="27.75" customHeight="1">
      <c r="B24" s="59">
        <v>18</v>
      </c>
      <c r="C24" s="672" t="s">
        <v>536</v>
      </c>
      <c r="D24" s="672"/>
      <c r="E24" s="672"/>
      <c r="F24" s="672"/>
      <c r="G24" s="672"/>
      <c r="H24" s="672"/>
      <c r="I24" s="672"/>
    </row>
  </sheetData>
  <sheetProtection/>
  <mergeCells count="18">
    <mergeCell ref="C21:I21"/>
    <mergeCell ref="C22:I22"/>
    <mergeCell ref="C23:I23"/>
    <mergeCell ref="C13:I13"/>
    <mergeCell ref="C14:I14"/>
    <mergeCell ref="C15:I15"/>
    <mergeCell ref="C16:I16"/>
    <mergeCell ref="C17:I17"/>
    <mergeCell ref="C24:I24"/>
    <mergeCell ref="C18:I18"/>
    <mergeCell ref="B3:H3"/>
    <mergeCell ref="B4:H4"/>
    <mergeCell ref="C9:I9"/>
    <mergeCell ref="C10:I10"/>
    <mergeCell ref="C11:I11"/>
    <mergeCell ref="C12:I12"/>
    <mergeCell ref="C19:I19"/>
    <mergeCell ref="C20:I2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9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4" sqref="A4:B5"/>
    </sheetView>
  </sheetViews>
  <sheetFormatPr defaultColWidth="0" defaultRowHeight="12.75" zeroHeight="1"/>
  <cols>
    <col min="1" max="1" width="19.421875" style="107" customWidth="1"/>
    <col min="2" max="2" width="20.421875" style="107" customWidth="1"/>
    <col min="3" max="3" width="9.140625" style="110" bestFit="1" customWidth="1"/>
    <col min="4" max="4" width="10.57421875" style="107" customWidth="1"/>
    <col min="5" max="17" width="9.57421875" style="107" customWidth="1"/>
    <col min="18" max="20" width="9.57421875" style="107" hidden="1" customWidth="1"/>
    <col min="21" max="21" width="11.57421875" style="107" hidden="1" customWidth="1"/>
    <col min="22" max="22" width="11.421875" style="107" hidden="1" customWidth="1"/>
    <col min="23" max="23" width="0" style="107" hidden="1" customWidth="1"/>
    <col min="24" max="16384" width="0" style="107" hidden="1" customWidth="1"/>
  </cols>
  <sheetData>
    <row r="1" spans="1:16" ht="12.75" customHeight="1">
      <c r="A1" s="818" t="s">
        <v>604</v>
      </c>
      <c r="B1" s="818"/>
      <c r="C1" s="818"/>
      <c r="K1" s="108"/>
      <c r="L1" s="108"/>
      <c r="M1" s="108"/>
      <c r="N1" s="108"/>
      <c r="O1" s="108"/>
      <c r="P1" s="137" t="s">
        <v>702</v>
      </c>
    </row>
    <row r="2" spans="1:16" ht="12.75">
      <c r="A2" s="819" t="str">
        <f>'ТИП-ПРОИЗ'!B3</f>
        <v>"Топлофикация- ....................." ЕАД</v>
      </c>
      <c r="B2" s="819"/>
      <c r="C2" s="819"/>
      <c r="K2" s="108"/>
      <c r="L2" s="108"/>
      <c r="M2" s="108"/>
      <c r="N2" s="108"/>
      <c r="O2" s="108"/>
      <c r="P2" s="108"/>
    </row>
    <row r="3" ht="12.75"/>
    <row r="4" spans="1:16" ht="12.75">
      <c r="A4" s="825">
        <f>'ТИП-ПРОИЗ'!F6</f>
        <v>7.2019</v>
      </c>
      <c r="B4" s="826"/>
      <c r="C4" s="830" t="s">
        <v>161</v>
      </c>
      <c r="D4" s="111" t="s">
        <v>397</v>
      </c>
      <c r="E4" s="112">
        <f>DATE($A$4,D5,1)</f>
        <v>2739</v>
      </c>
      <c r="F4" s="112">
        <f aca="true" t="shared" si="0" ref="F4:P4">DATE($A$4,$D$5+E5,1)</f>
        <v>2770</v>
      </c>
      <c r="G4" s="112">
        <f t="shared" si="0"/>
        <v>2801</v>
      </c>
      <c r="H4" s="112">
        <f t="shared" si="0"/>
        <v>2831</v>
      </c>
      <c r="I4" s="112">
        <f t="shared" si="0"/>
        <v>2862</v>
      </c>
      <c r="J4" s="112">
        <f t="shared" si="0"/>
        <v>2892</v>
      </c>
      <c r="K4" s="112">
        <f t="shared" si="0"/>
        <v>2923</v>
      </c>
      <c r="L4" s="112">
        <f t="shared" si="0"/>
        <v>2954</v>
      </c>
      <c r="M4" s="112">
        <f t="shared" si="0"/>
        <v>2983</v>
      </c>
      <c r="N4" s="112">
        <f t="shared" si="0"/>
        <v>3014</v>
      </c>
      <c r="O4" s="112">
        <f t="shared" si="0"/>
        <v>3044</v>
      </c>
      <c r="P4" s="112">
        <f t="shared" si="0"/>
        <v>3075</v>
      </c>
    </row>
    <row r="5" spans="1:16" ht="12.75">
      <c r="A5" s="827"/>
      <c r="B5" s="828"/>
      <c r="C5" s="830"/>
      <c r="D5" s="142">
        <v>7</v>
      </c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113">
        <v>12</v>
      </c>
    </row>
    <row r="6" spans="1:16" ht="12.75" customHeight="1">
      <c r="A6" s="829" t="s">
        <v>706</v>
      </c>
      <c r="B6" s="545" t="s">
        <v>708</v>
      </c>
      <c r="C6" s="546"/>
      <c r="D6" s="116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</row>
    <row r="7" spans="1:16" ht="12.75" customHeight="1">
      <c r="A7" s="829"/>
      <c r="B7" s="545" t="s">
        <v>709</v>
      </c>
      <c r="C7" s="546"/>
      <c r="D7" s="116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</row>
    <row r="8" spans="1:16" ht="12.75">
      <c r="A8" s="829"/>
      <c r="B8" s="547" t="s">
        <v>707</v>
      </c>
      <c r="C8" s="547"/>
      <c r="D8" s="116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</row>
    <row r="9" spans="1:16" ht="12.75">
      <c r="A9" s="831" t="s">
        <v>550</v>
      </c>
      <c r="B9" s="114" t="s">
        <v>398</v>
      </c>
      <c r="C9" s="115" t="s">
        <v>70</v>
      </c>
      <c r="D9" s="116">
        <f>SUM(E9:P9)</f>
        <v>0</v>
      </c>
      <c r="E9" s="116">
        <f aca="true" t="shared" si="1" ref="E9:P9">SUM(E10:E11)</f>
        <v>0</v>
      </c>
      <c r="F9" s="116">
        <f t="shared" si="1"/>
        <v>0</v>
      </c>
      <c r="G9" s="116">
        <f t="shared" si="1"/>
        <v>0</v>
      </c>
      <c r="H9" s="116">
        <f t="shared" si="1"/>
        <v>0</v>
      </c>
      <c r="I9" s="116">
        <f t="shared" si="1"/>
        <v>0</v>
      </c>
      <c r="J9" s="116">
        <f t="shared" si="1"/>
        <v>0</v>
      </c>
      <c r="K9" s="116">
        <f t="shared" si="1"/>
        <v>0</v>
      </c>
      <c r="L9" s="116">
        <f t="shared" si="1"/>
        <v>0</v>
      </c>
      <c r="M9" s="116">
        <f t="shared" si="1"/>
        <v>0</v>
      </c>
      <c r="N9" s="116">
        <f t="shared" si="1"/>
        <v>0</v>
      </c>
      <c r="O9" s="116">
        <f t="shared" si="1"/>
        <v>0</v>
      </c>
      <c r="P9" s="116">
        <f t="shared" si="1"/>
        <v>0</v>
      </c>
    </row>
    <row r="10" spans="1:16" ht="12.75">
      <c r="A10" s="832"/>
      <c r="B10" s="114" t="s">
        <v>399</v>
      </c>
      <c r="C10" s="115" t="s">
        <v>70</v>
      </c>
      <c r="D10" s="116">
        <f aca="true" t="shared" si="2" ref="D10:D17">SUM(E10:P10)</f>
        <v>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</row>
    <row r="11" spans="1:16" ht="12.75">
      <c r="A11" s="833"/>
      <c r="B11" s="114" t="s">
        <v>400</v>
      </c>
      <c r="C11" s="115" t="s">
        <v>70</v>
      </c>
      <c r="D11" s="116">
        <f t="shared" si="2"/>
        <v>0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</row>
    <row r="12" spans="1:16" ht="12.75">
      <c r="A12" s="820" t="s">
        <v>754</v>
      </c>
      <c r="B12" s="114" t="s">
        <v>398</v>
      </c>
      <c r="C12" s="115" t="s">
        <v>70</v>
      </c>
      <c r="D12" s="116">
        <f t="shared" si="2"/>
        <v>0</v>
      </c>
      <c r="E12" s="116">
        <f aca="true" t="shared" si="3" ref="E12:P12">SUM(E13:E14)</f>
        <v>0</v>
      </c>
      <c r="F12" s="116">
        <f t="shared" si="3"/>
        <v>0</v>
      </c>
      <c r="G12" s="116">
        <f t="shared" si="3"/>
        <v>0</v>
      </c>
      <c r="H12" s="116">
        <f t="shared" si="3"/>
        <v>0</v>
      </c>
      <c r="I12" s="116">
        <f t="shared" si="3"/>
        <v>0</v>
      </c>
      <c r="J12" s="116">
        <f t="shared" si="3"/>
        <v>0</v>
      </c>
      <c r="K12" s="116">
        <f t="shared" si="3"/>
        <v>0</v>
      </c>
      <c r="L12" s="116">
        <f t="shared" si="3"/>
        <v>0</v>
      </c>
      <c r="M12" s="116">
        <f t="shared" si="3"/>
        <v>0</v>
      </c>
      <c r="N12" s="116">
        <f t="shared" si="3"/>
        <v>0</v>
      </c>
      <c r="O12" s="116">
        <f t="shared" si="3"/>
        <v>0</v>
      </c>
      <c r="P12" s="116">
        <f t="shared" si="3"/>
        <v>0</v>
      </c>
    </row>
    <row r="13" spans="1:16" ht="12.75">
      <c r="A13" s="821"/>
      <c r="B13" s="114" t="s">
        <v>399</v>
      </c>
      <c r="C13" s="115" t="s">
        <v>70</v>
      </c>
      <c r="D13" s="116">
        <f t="shared" si="2"/>
        <v>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</row>
    <row r="14" spans="1:16" ht="12.75">
      <c r="A14" s="822"/>
      <c r="B14" s="114" t="s">
        <v>400</v>
      </c>
      <c r="C14" s="115" t="s">
        <v>70</v>
      </c>
      <c r="D14" s="116">
        <f t="shared" si="2"/>
        <v>0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16" ht="12.75">
      <c r="A15" s="820" t="s">
        <v>755</v>
      </c>
      <c r="B15" s="114" t="s">
        <v>398</v>
      </c>
      <c r="C15" s="115" t="s">
        <v>70</v>
      </c>
      <c r="D15" s="116">
        <f t="shared" si="2"/>
        <v>0</v>
      </c>
      <c r="E15" s="116">
        <f aca="true" t="shared" si="4" ref="E15:P15">SUM(E16:E17)</f>
        <v>0</v>
      </c>
      <c r="F15" s="116">
        <f t="shared" si="4"/>
        <v>0</v>
      </c>
      <c r="G15" s="116">
        <f t="shared" si="4"/>
        <v>0</v>
      </c>
      <c r="H15" s="116">
        <f t="shared" si="4"/>
        <v>0</v>
      </c>
      <c r="I15" s="116">
        <f t="shared" si="4"/>
        <v>0</v>
      </c>
      <c r="J15" s="116">
        <f t="shared" si="4"/>
        <v>0</v>
      </c>
      <c r="K15" s="116">
        <f t="shared" si="4"/>
        <v>0</v>
      </c>
      <c r="L15" s="116">
        <f t="shared" si="4"/>
        <v>0</v>
      </c>
      <c r="M15" s="116">
        <f t="shared" si="4"/>
        <v>0</v>
      </c>
      <c r="N15" s="116">
        <f t="shared" si="4"/>
        <v>0</v>
      </c>
      <c r="O15" s="116">
        <f t="shared" si="4"/>
        <v>0</v>
      </c>
      <c r="P15" s="116">
        <f t="shared" si="4"/>
        <v>0</v>
      </c>
    </row>
    <row r="16" spans="1:16" ht="12.75">
      <c r="A16" s="821"/>
      <c r="B16" s="114" t="s">
        <v>399</v>
      </c>
      <c r="C16" s="115" t="s">
        <v>70</v>
      </c>
      <c r="D16" s="116">
        <f t="shared" si="2"/>
        <v>0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ht="12.75">
      <c r="A17" s="822"/>
      <c r="B17" s="114" t="s">
        <v>400</v>
      </c>
      <c r="C17" s="115" t="s">
        <v>70</v>
      </c>
      <c r="D17" s="116">
        <f t="shared" si="2"/>
        <v>0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>
      <c r="A18" s="118"/>
      <c r="B18" s="119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12.75">
      <c r="A19" s="114" t="s">
        <v>551</v>
      </c>
      <c r="B19" s="114" t="s">
        <v>398</v>
      </c>
      <c r="C19" s="115" t="s">
        <v>70</v>
      </c>
      <c r="D19" s="116">
        <f>SUM(E19:P19)</f>
        <v>0</v>
      </c>
      <c r="E19" s="116">
        <f aca="true" t="shared" si="5" ref="E19:P19">SUM(E20:E21)</f>
        <v>0</v>
      </c>
      <c r="F19" s="116">
        <f t="shared" si="5"/>
        <v>0</v>
      </c>
      <c r="G19" s="116">
        <f t="shared" si="5"/>
        <v>0</v>
      </c>
      <c r="H19" s="116">
        <f t="shared" si="5"/>
        <v>0</v>
      </c>
      <c r="I19" s="116">
        <f t="shared" si="5"/>
        <v>0</v>
      </c>
      <c r="J19" s="116">
        <f t="shared" si="5"/>
        <v>0</v>
      </c>
      <c r="K19" s="116">
        <f t="shared" si="5"/>
        <v>0</v>
      </c>
      <c r="L19" s="116">
        <f t="shared" si="5"/>
        <v>0</v>
      </c>
      <c r="M19" s="116">
        <f t="shared" si="5"/>
        <v>0</v>
      </c>
      <c r="N19" s="116">
        <f t="shared" si="5"/>
        <v>0</v>
      </c>
      <c r="O19" s="116">
        <f t="shared" si="5"/>
        <v>0</v>
      </c>
      <c r="P19" s="116">
        <f t="shared" si="5"/>
        <v>0</v>
      </c>
    </row>
    <row r="20" spans="1:16" ht="12.75">
      <c r="A20" s="122" t="s">
        <v>402</v>
      </c>
      <c r="B20" s="114" t="s">
        <v>399</v>
      </c>
      <c r="C20" s="115" t="s">
        <v>70</v>
      </c>
      <c r="D20" s="116">
        <f>SUM(E20:P20)</f>
        <v>0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ht="12.75">
      <c r="A21" s="117" t="s">
        <v>403</v>
      </c>
      <c r="B21" s="114" t="s">
        <v>400</v>
      </c>
      <c r="C21" s="115" t="s">
        <v>70</v>
      </c>
      <c r="D21" s="116">
        <f>SUM(E21:P21)</f>
        <v>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 ht="12.75">
      <c r="A22" s="114" t="s">
        <v>244</v>
      </c>
      <c r="B22" s="114" t="s">
        <v>680</v>
      </c>
      <c r="C22" s="111" t="s">
        <v>7</v>
      </c>
      <c r="D22" s="510">
        <f aca="true" t="shared" si="6" ref="D22:P22">IF(D23=0,0,D19/D23)</f>
        <v>0</v>
      </c>
      <c r="E22" s="510">
        <f t="shared" si="6"/>
        <v>0</v>
      </c>
      <c r="F22" s="510">
        <f t="shared" si="6"/>
        <v>0</v>
      </c>
      <c r="G22" s="510">
        <f t="shared" si="6"/>
        <v>0</v>
      </c>
      <c r="H22" s="510">
        <f t="shared" si="6"/>
        <v>0</v>
      </c>
      <c r="I22" s="510">
        <f t="shared" si="6"/>
        <v>0</v>
      </c>
      <c r="J22" s="510">
        <f t="shared" si="6"/>
        <v>0</v>
      </c>
      <c r="K22" s="510">
        <f t="shared" si="6"/>
        <v>0</v>
      </c>
      <c r="L22" s="510">
        <f t="shared" si="6"/>
        <v>0</v>
      </c>
      <c r="M22" s="510">
        <f t="shared" si="6"/>
        <v>0</v>
      </c>
      <c r="N22" s="510">
        <f t="shared" si="6"/>
        <v>0</v>
      </c>
      <c r="O22" s="510">
        <f t="shared" si="6"/>
        <v>0</v>
      </c>
      <c r="P22" s="510">
        <f t="shared" si="6"/>
        <v>0</v>
      </c>
    </row>
    <row r="23" spans="1:16" ht="12.75">
      <c r="A23" s="823" t="s">
        <v>552</v>
      </c>
      <c r="B23" s="123" t="s">
        <v>673</v>
      </c>
      <c r="C23" s="115" t="s">
        <v>70</v>
      </c>
      <c r="D23" s="116">
        <f>SUM(E23:P23)</f>
        <v>0</v>
      </c>
      <c r="E23" s="124">
        <f>SUMPRODUCT($B$25:$B$26,E25:E26)/860</f>
        <v>0</v>
      </c>
      <c r="F23" s="124">
        <f aca="true" t="shared" si="7" ref="F23:P23">SUMPRODUCT($B$25:$B$26,F25:F26)/860</f>
        <v>0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  <c r="M23" s="124">
        <f t="shared" si="7"/>
        <v>0</v>
      </c>
      <c r="N23" s="124">
        <f t="shared" si="7"/>
        <v>0</v>
      </c>
      <c r="O23" s="124">
        <f t="shared" si="7"/>
        <v>0</v>
      </c>
      <c r="P23" s="124">
        <f t="shared" si="7"/>
        <v>0</v>
      </c>
    </row>
    <row r="24" spans="1:16" ht="14.25">
      <c r="A24" s="824"/>
      <c r="B24" s="123" t="s">
        <v>405</v>
      </c>
      <c r="C24" s="111" t="s">
        <v>404</v>
      </c>
      <c r="D24" s="116">
        <f>SUM(E24:P24)</f>
        <v>0</v>
      </c>
      <c r="E24" s="125">
        <f aca="true" t="shared" si="8" ref="E24:P24">E23*0.86/7</f>
        <v>0</v>
      </c>
      <c r="F24" s="125">
        <f t="shared" si="8"/>
        <v>0</v>
      </c>
      <c r="G24" s="125">
        <f t="shared" si="8"/>
        <v>0</v>
      </c>
      <c r="H24" s="125">
        <f t="shared" si="8"/>
        <v>0</v>
      </c>
      <c r="I24" s="125">
        <f t="shared" si="8"/>
        <v>0</v>
      </c>
      <c r="J24" s="125">
        <f t="shared" si="8"/>
        <v>0</v>
      </c>
      <c r="K24" s="125">
        <f t="shared" si="8"/>
        <v>0</v>
      </c>
      <c r="L24" s="125">
        <f t="shared" si="8"/>
        <v>0</v>
      </c>
      <c r="M24" s="125">
        <f t="shared" si="8"/>
        <v>0</v>
      </c>
      <c r="N24" s="125">
        <f t="shared" si="8"/>
        <v>0</v>
      </c>
      <c r="O24" s="125">
        <f t="shared" si="8"/>
        <v>0</v>
      </c>
      <c r="P24" s="125">
        <f t="shared" si="8"/>
        <v>0</v>
      </c>
    </row>
    <row r="25" spans="1:16" ht="15.75">
      <c r="A25" s="122" t="s">
        <v>553</v>
      </c>
      <c r="B25" s="670">
        <v>8000</v>
      </c>
      <c r="C25" s="671" t="s">
        <v>376</v>
      </c>
      <c r="D25" s="116">
        <f>SUM(E25:P25)</f>
        <v>0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ht="15.75">
      <c r="A26" s="117" t="s">
        <v>554</v>
      </c>
      <c r="B26" s="670">
        <v>8000</v>
      </c>
      <c r="C26" s="671" t="s">
        <v>376</v>
      </c>
      <c r="D26" s="116">
        <f>SUM(E26:P26)</f>
        <v>0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="126" customFormat="1" ht="11.25" customHeight="1"/>
    <row r="28" spans="1:16" ht="12.75">
      <c r="A28" s="127" t="s">
        <v>672</v>
      </c>
      <c r="B28" s="123" t="s">
        <v>673</v>
      </c>
      <c r="C28" s="115" t="s">
        <v>70</v>
      </c>
      <c r="D28" s="116">
        <f aca="true" t="shared" si="9" ref="D28:D34">SUM(E28:P28)</f>
        <v>0</v>
      </c>
      <c r="E28" s="124">
        <f>SUMPRODUCT($A$30:$A$34,E30:E34)/860</f>
        <v>0</v>
      </c>
      <c r="F28" s="124">
        <f aca="true" t="shared" si="10" ref="F28:P28">SUMPRODUCT($A$30:$A$34,F30:F34)/860</f>
        <v>0</v>
      </c>
      <c r="G28" s="124">
        <f t="shared" si="10"/>
        <v>0</v>
      </c>
      <c r="H28" s="124">
        <f t="shared" si="10"/>
        <v>0</v>
      </c>
      <c r="I28" s="124">
        <f t="shared" si="10"/>
        <v>0</v>
      </c>
      <c r="J28" s="124">
        <f t="shared" si="10"/>
        <v>0</v>
      </c>
      <c r="K28" s="124">
        <f t="shared" si="10"/>
        <v>0</v>
      </c>
      <c r="L28" s="124">
        <f t="shared" si="10"/>
        <v>0</v>
      </c>
      <c r="M28" s="124">
        <f t="shared" si="10"/>
        <v>0</v>
      </c>
      <c r="N28" s="124">
        <f t="shared" si="10"/>
        <v>0</v>
      </c>
      <c r="O28" s="124">
        <f t="shared" si="10"/>
        <v>0</v>
      </c>
      <c r="P28" s="124">
        <f t="shared" si="10"/>
        <v>0</v>
      </c>
    </row>
    <row r="29" spans="1:16" ht="14.25">
      <c r="A29" s="128"/>
      <c r="B29" s="123" t="s">
        <v>405</v>
      </c>
      <c r="C29" s="111" t="s">
        <v>404</v>
      </c>
      <c r="D29" s="116">
        <f t="shared" si="9"/>
        <v>0</v>
      </c>
      <c r="E29" s="125">
        <f aca="true" t="shared" si="11" ref="E29:P29">E28*0.86/7</f>
        <v>0</v>
      </c>
      <c r="F29" s="125">
        <f t="shared" si="11"/>
        <v>0</v>
      </c>
      <c r="G29" s="125">
        <f t="shared" si="11"/>
        <v>0</v>
      </c>
      <c r="H29" s="125">
        <f t="shared" si="11"/>
        <v>0</v>
      </c>
      <c r="I29" s="125">
        <f t="shared" si="11"/>
        <v>0</v>
      </c>
      <c r="J29" s="125">
        <f t="shared" si="11"/>
        <v>0</v>
      </c>
      <c r="K29" s="125">
        <f t="shared" si="11"/>
        <v>0</v>
      </c>
      <c r="L29" s="125">
        <f t="shared" si="11"/>
        <v>0</v>
      </c>
      <c r="M29" s="125">
        <f t="shared" si="11"/>
        <v>0</v>
      </c>
      <c r="N29" s="125">
        <f t="shared" si="11"/>
        <v>0</v>
      </c>
      <c r="O29" s="125">
        <f t="shared" si="11"/>
        <v>0</v>
      </c>
      <c r="P29" s="125">
        <f t="shared" si="11"/>
        <v>0</v>
      </c>
    </row>
    <row r="30" spans="1:16" ht="15.75">
      <c r="A30" s="144">
        <v>8000</v>
      </c>
      <c r="B30" s="123" t="s">
        <v>9</v>
      </c>
      <c r="C30" s="111" t="s">
        <v>376</v>
      </c>
      <c r="D30" s="116">
        <f t="shared" si="9"/>
        <v>0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ht="12.75">
      <c r="A31" s="77">
        <v>9500</v>
      </c>
      <c r="B31" s="123" t="s">
        <v>10</v>
      </c>
      <c r="C31" s="111" t="s">
        <v>23</v>
      </c>
      <c r="D31" s="116">
        <f t="shared" si="9"/>
        <v>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ht="12.75">
      <c r="A32" s="77">
        <v>10500</v>
      </c>
      <c r="B32" s="123" t="s">
        <v>12</v>
      </c>
      <c r="C32" s="111" t="s">
        <v>23</v>
      </c>
      <c r="D32" s="116">
        <f t="shared" si="9"/>
        <v>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ht="12.75">
      <c r="A33" s="77">
        <v>6000</v>
      </c>
      <c r="B33" s="123" t="s">
        <v>11</v>
      </c>
      <c r="C33" s="111" t="s">
        <v>23</v>
      </c>
      <c r="D33" s="116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1:16" ht="15.75">
      <c r="A34" s="78">
        <v>6000</v>
      </c>
      <c r="B34" s="123" t="s">
        <v>406</v>
      </c>
      <c r="C34" s="111" t="s">
        <v>407</v>
      </c>
      <c r="D34" s="116">
        <f t="shared" si="9"/>
        <v>0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="126" customFormat="1" ht="12.75"/>
    <row r="36" spans="1:16" ht="12.75">
      <c r="A36" s="129" t="s">
        <v>675</v>
      </c>
      <c r="B36" s="130" t="s">
        <v>674</v>
      </c>
      <c r="C36" s="115" t="s">
        <v>70</v>
      </c>
      <c r="D36" s="116">
        <f>SUM(E36:P36)</f>
        <v>0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ht="12.75">
      <c r="A37" s="129" t="s">
        <v>676</v>
      </c>
      <c r="B37" s="130"/>
      <c r="C37" s="115" t="s">
        <v>70</v>
      </c>
      <c r="D37" s="116">
        <f>SUM(E37:P37)</f>
        <v>0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ht="12.75">
      <c r="A38" s="129" t="s">
        <v>677</v>
      </c>
      <c r="B38" s="130"/>
      <c r="C38" s="115" t="s">
        <v>70</v>
      </c>
      <c r="D38" s="116">
        <f>SUM(E38:P38)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ht="12.75">
      <c r="A39" s="836" t="s">
        <v>16</v>
      </c>
      <c r="B39" s="131"/>
      <c r="C39" s="115" t="s">
        <v>70</v>
      </c>
      <c r="D39" s="116">
        <f>SUM(E39:P39)</f>
        <v>0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ht="12.75">
      <c r="A40" s="836"/>
      <c r="B40" s="131"/>
      <c r="C40" s="111" t="s">
        <v>7</v>
      </c>
      <c r="D40" s="132">
        <f aca="true" t="shared" si="12" ref="D40:P40">IF(D36=0,0,D39/D36)</f>
        <v>0</v>
      </c>
      <c r="E40" s="132">
        <f t="shared" si="12"/>
        <v>0</v>
      </c>
      <c r="F40" s="132">
        <f t="shared" si="12"/>
        <v>0</v>
      </c>
      <c r="G40" s="132">
        <f t="shared" si="12"/>
        <v>0</v>
      </c>
      <c r="H40" s="132">
        <f t="shared" si="12"/>
        <v>0</v>
      </c>
      <c r="I40" s="132">
        <f t="shared" si="12"/>
        <v>0</v>
      </c>
      <c r="J40" s="132">
        <f t="shared" si="12"/>
        <v>0</v>
      </c>
      <c r="K40" s="132">
        <f t="shared" si="12"/>
        <v>0</v>
      </c>
      <c r="L40" s="132">
        <f t="shared" si="12"/>
        <v>0</v>
      </c>
      <c r="M40" s="132">
        <f t="shared" si="12"/>
        <v>0</v>
      </c>
      <c r="N40" s="132">
        <f t="shared" si="12"/>
        <v>0</v>
      </c>
      <c r="O40" s="132">
        <f t="shared" si="12"/>
        <v>0</v>
      </c>
      <c r="P40" s="132">
        <f t="shared" si="12"/>
        <v>0</v>
      </c>
    </row>
    <row r="41" spans="1:16" ht="20.25">
      <c r="A41" s="835" t="s">
        <v>408</v>
      </c>
      <c r="B41" s="133" t="s">
        <v>398</v>
      </c>
      <c r="C41" s="115" t="s">
        <v>70</v>
      </c>
      <c r="D41" s="134">
        <f aca="true" t="shared" si="13" ref="D41:D46">SUM(E41:P41)</f>
        <v>0</v>
      </c>
      <c r="E41" s="116">
        <f aca="true" t="shared" si="14" ref="E41:P41">SUM(E36,-E39)</f>
        <v>0</v>
      </c>
      <c r="F41" s="116">
        <f t="shared" si="14"/>
        <v>0</v>
      </c>
      <c r="G41" s="116">
        <f t="shared" si="14"/>
        <v>0</v>
      </c>
      <c r="H41" s="116">
        <f t="shared" si="14"/>
        <v>0</v>
      </c>
      <c r="I41" s="116">
        <f t="shared" si="14"/>
        <v>0</v>
      </c>
      <c r="J41" s="116">
        <f t="shared" si="14"/>
        <v>0</v>
      </c>
      <c r="K41" s="116">
        <f t="shared" si="14"/>
        <v>0</v>
      </c>
      <c r="L41" s="116">
        <f t="shared" si="14"/>
        <v>0</v>
      </c>
      <c r="M41" s="116">
        <f t="shared" si="14"/>
        <v>0</v>
      </c>
      <c r="N41" s="116">
        <f t="shared" si="14"/>
        <v>0</v>
      </c>
      <c r="O41" s="116">
        <f t="shared" si="14"/>
        <v>0</v>
      </c>
      <c r="P41" s="116">
        <f t="shared" si="14"/>
        <v>0</v>
      </c>
    </row>
    <row r="42" spans="1:16" ht="12.75">
      <c r="A42" s="835"/>
      <c r="B42" s="130" t="s">
        <v>679</v>
      </c>
      <c r="C42" s="115" t="s">
        <v>70</v>
      </c>
      <c r="D42" s="116">
        <f t="shared" si="13"/>
        <v>0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ht="12.75">
      <c r="A43" s="835"/>
      <c r="B43" s="130" t="s">
        <v>678</v>
      </c>
      <c r="C43" s="115" t="s">
        <v>70</v>
      </c>
      <c r="D43" s="134">
        <f t="shared" si="13"/>
        <v>0</v>
      </c>
      <c r="E43" s="125">
        <f>SUM(E41,-E42)</f>
        <v>0</v>
      </c>
      <c r="F43" s="125">
        <f aca="true" t="shared" si="15" ref="F43:P43">SUM(F41,-F42)</f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</row>
    <row r="44" spans="1:16" ht="12.75">
      <c r="A44" s="835" t="s">
        <v>412</v>
      </c>
      <c r="B44" s="135" t="s">
        <v>409</v>
      </c>
      <c r="C44" s="115" t="s">
        <v>70</v>
      </c>
      <c r="D44" s="116">
        <f t="shared" si="13"/>
        <v>0</v>
      </c>
      <c r="E44" s="116">
        <f>SUM(E43,-E45,-E46)</f>
        <v>0</v>
      </c>
      <c r="F44" s="116">
        <f aca="true" t="shared" si="16" ref="F44:P44">SUM(F43,-F45,-F46)</f>
        <v>0</v>
      </c>
      <c r="G44" s="116">
        <f t="shared" si="16"/>
        <v>0</v>
      </c>
      <c r="H44" s="116">
        <f t="shared" si="16"/>
        <v>0</v>
      </c>
      <c r="I44" s="116">
        <f t="shared" si="16"/>
        <v>0</v>
      </c>
      <c r="J44" s="116">
        <f t="shared" si="16"/>
        <v>0</v>
      </c>
      <c r="K44" s="116">
        <f t="shared" si="16"/>
        <v>0</v>
      </c>
      <c r="L44" s="116">
        <f t="shared" si="16"/>
        <v>0</v>
      </c>
      <c r="M44" s="116">
        <f t="shared" si="16"/>
        <v>0</v>
      </c>
      <c r="N44" s="116">
        <f t="shared" si="16"/>
        <v>0</v>
      </c>
      <c r="O44" s="116">
        <f t="shared" si="16"/>
        <v>0</v>
      </c>
      <c r="P44" s="116">
        <f t="shared" si="16"/>
        <v>0</v>
      </c>
    </row>
    <row r="45" spans="1:16" ht="12.75">
      <c r="A45" s="835"/>
      <c r="B45" s="135" t="s">
        <v>410</v>
      </c>
      <c r="C45" s="115" t="s">
        <v>70</v>
      </c>
      <c r="D45" s="116">
        <f t="shared" si="13"/>
        <v>0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6" ht="12.75">
      <c r="A46" s="835"/>
      <c r="B46" s="135" t="s">
        <v>411</v>
      </c>
      <c r="C46" s="115" t="s">
        <v>70</v>
      </c>
      <c r="D46" s="116">
        <f t="shared" si="13"/>
        <v>0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6" ht="12.75">
      <c r="A47" s="834" t="s">
        <v>749</v>
      </c>
      <c r="B47" s="212" t="s">
        <v>399</v>
      </c>
      <c r="C47" s="115" t="s">
        <v>164</v>
      </c>
      <c r="D47" s="12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6" ht="12.75">
      <c r="A48" s="834"/>
      <c r="B48" s="658" t="s">
        <v>400</v>
      </c>
      <c r="C48" s="115" t="s">
        <v>164</v>
      </c>
      <c r="D48" s="114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1:16" ht="12.75">
      <c r="A49" s="239"/>
      <c r="B49" s="659"/>
      <c r="C49" s="120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 ht="12.75">
      <c r="A50" s="239"/>
      <c r="B50" s="659"/>
      <c r="C50" s="120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2:10" ht="12.75">
      <c r="B51" s="137" t="str">
        <f>'[2]Разходи-Произв.'!$A$79</f>
        <v>Гл. счетоводител:</v>
      </c>
      <c r="C51" s="107"/>
      <c r="G51" s="138" t="str">
        <f>'[2]Разходи-Произв.'!$E$79</f>
        <v>Изп. директор:</v>
      </c>
      <c r="I51" s="139"/>
      <c r="J51" s="139"/>
    </row>
    <row r="52" spans="1:10" ht="12.75">
      <c r="A52" s="136"/>
      <c r="C52" s="140" t="str">
        <f>Разходи!$B$93</f>
        <v>/ Xxx                  /</v>
      </c>
      <c r="G52" s="139"/>
      <c r="H52" s="141" t="str">
        <f>Разходи!$F$93</f>
        <v>/ Xxxxxx                  /</v>
      </c>
      <c r="I52" s="141"/>
      <c r="J52" s="141"/>
    </row>
    <row r="53" spans="1:16" ht="12.75">
      <c r="A53" s="136"/>
      <c r="B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</row>
    <row r="54" spans="1:16" ht="12.75" hidden="1">
      <c r="A54" s="136"/>
      <c r="B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</row>
    <row r="55" spans="1:16" ht="12.75" hidden="1">
      <c r="A55" s="136"/>
      <c r="B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ht="12.75" hidden="1">
      <c r="A56" s="136"/>
      <c r="B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 ht="12.75" hidden="1">
      <c r="A57" s="136"/>
      <c r="B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12.75" hidden="1">
      <c r="A58" s="136"/>
      <c r="B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6" ht="12.75" hidden="1">
      <c r="A59" s="136"/>
      <c r="B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</row>
    <row r="60" spans="1:16" ht="12.75" hidden="1">
      <c r="A60" s="136"/>
      <c r="B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1:16" ht="12.75" hidden="1">
      <c r="A61" s="136"/>
      <c r="B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  <row r="62" spans="1:16" ht="12.75" hidden="1">
      <c r="A62" s="136"/>
      <c r="B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 ht="12.75" hidden="1">
      <c r="A63" s="136"/>
      <c r="B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</row>
    <row r="64" spans="1:16" ht="12.75" hidden="1">
      <c r="A64" s="136"/>
      <c r="B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ht="12.75" hidden="1">
      <c r="A65" s="136"/>
      <c r="B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</row>
    <row r="66" spans="1:16" ht="12.75" hidden="1">
      <c r="A66" s="136"/>
      <c r="B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</row>
    <row r="67" spans="1:16" ht="12.75" hidden="1">
      <c r="A67" s="136"/>
      <c r="B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</row>
    <row r="68" spans="1:16" ht="12.75" hidden="1">
      <c r="A68" s="136"/>
      <c r="B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</row>
    <row r="69" spans="1:16" ht="12.75" hidden="1">
      <c r="A69" s="136"/>
      <c r="B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</row>
    <row r="70" spans="1:16" ht="12.75" hidden="1">
      <c r="A70" s="136"/>
      <c r="B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</row>
    <row r="71" spans="1:16" ht="12.75" hidden="1">
      <c r="A71" s="136"/>
      <c r="B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</row>
    <row r="72" spans="1:16" ht="12.75" hidden="1">
      <c r="A72" s="136"/>
      <c r="B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6" ht="12.75" hidden="1">
      <c r="A73" s="136"/>
      <c r="B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</row>
    <row r="74" spans="1:16" ht="12.75" hidden="1">
      <c r="A74" s="136"/>
      <c r="B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</row>
    <row r="75" spans="1:16" ht="12.75" hidden="1">
      <c r="A75" s="136"/>
      <c r="B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</row>
    <row r="76" spans="1:16" ht="12.75" hidden="1">
      <c r="A76" s="136"/>
      <c r="B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</row>
    <row r="77" spans="1:16" ht="12.75" hidden="1">
      <c r="A77" s="136"/>
      <c r="B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</row>
    <row r="78" spans="1:16" ht="12.75" hidden="1">
      <c r="A78" s="136"/>
      <c r="B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</row>
    <row r="79" spans="1:16" ht="12.75" hidden="1">
      <c r="A79" s="136"/>
      <c r="B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</row>
    <row r="80" spans="1:16" ht="12.75" hidden="1">
      <c r="A80" s="136"/>
      <c r="B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</row>
    <row r="81" spans="1:16" ht="12.75" hidden="1">
      <c r="A81" s="136"/>
      <c r="B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</row>
    <row r="82" spans="1:16" ht="12.75" hidden="1">
      <c r="A82" s="136"/>
      <c r="B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</row>
    <row r="83" spans="1:16" ht="12.75" hidden="1">
      <c r="A83" s="136"/>
      <c r="B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</row>
    <row r="84" spans="1:16" ht="12.75" hidden="1">
      <c r="A84" s="136"/>
      <c r="B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</row>
    <row r="85" spans="1:16" ht="12.75" hidden="1">
      <c r="A85" s="136"/>
      <c r="B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</row>
    <row r="86" spans="1:16" ht="12.75" hidden="1">
      <c r="A86" s="136"/>
      <c r="B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ht="12.75" hidden="1">
      <c r="A87" s="136"/>
      <c r="B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</row>
    <row r="88" spans="1:16" ht="12.75" hidden="1">
      <c r="A88" s="136"/>
      <c r="B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</row>
    <row r="89" spans="1:16" ht="12.75" hidden="1">
      <c r="A89" s="136"/>
      <c r="B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</row>
    <row r="90" spans="1:16" ht="12.75" hidden="1">
      <c r="A90" s="136"/>
      <c r="B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</row>
    <row r="91" spans="1:16" ht="12.75" hidden="1">
      <c r="A91" s="136"/>
      <c r="B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1:16" ht="12.75" hidden="1">
      <c r="A92" s="136"/>
      <c r="B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</row>
    <row r="93" spans="1:16" ht="12.75" hidden="1">
      <c r="A93" s="136"/>
      <c r="B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</row>
    <row r="94" spans="1:16" ht="12.75" hidden="1">
      <c r="A94" s="136"/>
      <c r="B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</row>
    <row r="95" spans="1:16" ht="12.75" hidden="1">
      <c r="A95" s="136"/>
      <c r="B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</row>
    <row r="96" spans="1:16" ht="12.75" hidden="1">
      <c r="A96" s="136"/>
      <c r="B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</row>
    <row r="97" spans="1:16" ht="12.75" hidden="1">
      <c r="A97" s="136"/>
      <c r="B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</row>
    <row r="98" spans="1:16" ht="12.75" hidden="1">
      <c r="A98" s="136"/>
      <c r="B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</row>
    <row r="99" spans="1:16" ht="12.75" hidden="1">
      <c r="A99" s="136"/>
      <c r="B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</row>
    <row r="100" spans="1:16" ht="12.75" hidden="1">
      <c r="A100" s="136"/>
      <c r="B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</row>
    <row r="101" spans="1:16" ht="12.75" hidden="1">
      <c r="A101" s="136"/>
      <c r="B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  <row r="102" spans="1:16" ht="12.75" hidden="1">
      <c r="A102" s="136"/>
      <c r="B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</row>
    <row r="103" spans="1:16" ht="12.75" hidden="1">
      <c r="A103" s="136"/>
      <c r="B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</row>
    <row r="104" spans="1:16" ht="12.75" hidden="1">
      <c r="A104" s="136"/>
      <c r="B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</row>
    <row r="105" spans="1:16" ht="12.75" hidden="1">
      <c r="A105" s="136"/>
      <c r="B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</row>
    <row r="106" spans="1:16" ht="12.75" hidden="1">
      <c r="A106" s="136"/>
      <c r="B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</row>
    <row r="107" spans="1:16" ht="12.75" hidden="1">
      <c r="A107" s="136"/>
      <c r="B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</row>
    <row r="108" spans="1:16" ht="12.75" hidden="1">
      <c r="A108" s="136"/>
      <c r="B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</row>
    <row r="109" spans="1:16" ht="12.75" hidden="1">
      <c r="A109" s="136"/>
      <c r="B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</row>
    <row r="110" spans="1:16" ht="12.75" hidden="1">
      <c r="A110" s="136"/>
      <c r="B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1:16" ht="12.75" hidden="1">
      <c r="A111" s="136"/>
      <c r="B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1:16" ht="12.75" hidden="1">
      <c r="A112" s="136"/>
      <c r="B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1:16" ht="12.75" hidden="1">
      <c r="A113" s="136"/>
      <c r="B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1:16" ht="12.75" hidden="1">
      <c r="A114" s="136"/>
      <c r="B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1:16" ht="12.75" hidden="1">
      <c r="A115" s="136"/>
      <c r="B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1:16" ht="12.75" hidden="1">
      <c r="A116" s="136"/>
      <c r="B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1:16" ht="12.75" hidden="1">
      <c r="A117" s="136"/>
      <c r="B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1:16" ht="12.75" hidden="1">
      <c r="A118" s="136"/>
      <c r="B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1:16" ht="12.75" hidden="1">
      <c r="A119" s="136"/>
      <c r="B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1:16" ht="12.75" hidden="1">
      <c r="A120" s="136"/>
      <c r="B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1:16" ht="12.75" hidden="1">
      <c r="A121" s="136"/>
      <c r="B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1:16" ht="12.75" hidden="1">
      <c r="A122" s="136"/>
      <c r="B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1:16" ht="12.75" hidden="1">
      <c r="A123" s="136"/>
      <c r="B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1:16" ht="12.75" hidden="1">
      <c r="A124" s="136"/>
      <c r="B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1:16" ht="12.75" hidden="1">
      <c r="A125" s="136"/>
      <c r="B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1:16" ht="12.75" hidden="1">
      <c r="A126" s="136"/>
      <c r="B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1:16" ht="12.75" hidden="1">
      <c r="A127" s="136"/>
      <c r="B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1:16" ht="12.75" hidden="1">
      <c r="A128" s="136"/>
      <c r="B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1:16" ht="12.75" hidden="1">
      <c r="A129" s="136"/>
      <c r="B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1:16" ht="12.75" hidden="1">
      <c r="A130" s="136"/>
      <c r="B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1:16" ht="12.75" hidden="1">
      <c r="A131" s="136"/>
      <c r="B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1:16" ht="12.75" hidden="1">
      <c r="A132" s="136"/>
      <c r="B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1:16" ht="12.75" hidden="1">
      <c r="A133" s="136"/>
      <c r="B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12.75" hidden="1">
      <c r="A134" s="136"/>
      <c r="B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1:16" ht="12.75" hidden="1">
      <c r="A135" s="136"/>
      <c r="B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1:16" ht="12.75" hidden="1">
      <c r="A136" s="136"/>
      <c r="B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1:16" ht="12.75" hidden="1">
      <c r="A137" s="136"/>
      <c r="B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1:16" ht="12.75" hidden="1">
      <c r="A138" s="136"/>
      <c r="B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1:16" ht="12.75" hidden="1">
      <c r="A139" s="136"/>
      <c r="B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1:16" ht="12.75" hidden="1">
      <c r="A140" s="136"/>
      <c r="B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1:16" ht="12.75" hidden="1">
      <c r="A141" s="136"/>
      <c r="B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1:16" ht="12.75" hidden="1">
      <c r="A142" s="136"/>
      <c r="B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1:16" ht="12.75" hidden="1">
      <c r="A143" s="136"/>
      <c r="B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1:16" ht="12.75" hidden="1">
      <c r="A144" s="136"/>
      <c r="B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16" ht="12.75" hidden="1">
      <c r="A145" s="136"/>
      <c r="B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16" ht="12.75" hidden="1">
      <c r="A146" s="136"/>
      <c r="B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16" ht="12.75" hidden="1">
      <c r="A147" s="136"/>
      <c r="B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16" ht="12.75" hidden="1">
      <c r="A148" s="136"/>
      <c r="B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16" ht="12.75" hidden="1">
      <c r="A149" s="136"/>
      <c r="B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ht="12.75" hidden="1"/>
    <row r="151" ht="12.75" hidden="1"/>
    <row r="152" ht="12.75" hidden="1"/>
    <row r="153" ht="12.75" hidden="1"/>
    <row r="154" ht="12.75" hidden="1"/>
    <row r="155" ht="12.75" hidden="1"/>
  </sheetData>
  <sheetProtection/>
  <mergeCells count="13">
    <mergeCell ref="A47:A48"/>
    <mergeCell ref="A44:A46"/>
    <mergeCell ref="A41:A43"/>
    <mergeCell ref="A39:A40"/>
    <mergeCell ref="A1:C1"/>
    <mergeCell ref="A2:C2"/>
    <mergeCell ref="A12:A14"/>
    <mergeCell ref="A15:A17"/>
    <mergeCell ref="A23:A24"/>
    <mergeCell ref="A4:B5"/>
    <mergeCell ref="A6:A8"/>
    <mergeCell ref="C4:C5"/>
    <mergeCell ref="A9:A11"/>
  </mergeCells>
  <printOptions horizontalCentered="1"/>
  <pageMargins left="0.15748031496062992" right="0.15748031496062992" top="0.1968503937007874" bottom="0.1968503937007874" header="0.11811023622047245" footer="0.11811023622047245"/>
  <pageSetup blackAndWhite="1" horizontalDpi="600" verticalDpi="600" orientation="landscape" paperSize="9" scale="80" r:id="rId1"/>
  <ignoredErrors>
    <ignoredError sqref="D40 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showGridLines="0"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5" sqref="D5:F5"/>
    </sheetView>
  </sheetViews>
  <sheetFormatPr defaultColWidth="0" defaultRowHeight="12.75" zeroHeight="1"/>
  <cols>
    <col min="1" max="1" width="4.57421875" style="136" customWidth="1"/>
    <col min="2" max="2" width="34.421875" style="136" customWidth="1"/>
    <col min="3" max="3" width="7.57421875" style="110" bestFit="1" customWidth="1"/>
    <col min="4" max="4" width="9.00390625" style="110" customWidth="1"/>
    <col min="5" max="5" width="9.140625" style="110" customWidth="1"/>
    <col min="6" max="6" width="9.57421875" style="110" customWidth="1"/>
    <col min="7" max="8" width="9.00390625" style="110" customWidth="1"/>
    <col min="9" max="9" width="11.57421875" style="110" customWidth="1"/>
    <col min="10" max="10" width="9.421875" style="136" customWidth="1"/>
    <col min="11" max="16384" width="0" style="136" hidden="1" customWidth="1"/>
  </cols>
  <sheetData>
    <row r="1" spans="2:9" ht="12.75">
      <c r="B1" s="680">
        <v>1</v>
      </c>
      <c r="C1" s="680"/>
      <c r="I1" s="137" t="s">
        <v>683</v>
      </c>
    </row>
    <row r="2" spans="2:3" ht="12.75">
      <c r="B2" s="681" t="s">
        <v>390</v>
      </c>
      <c r="C2" s="681"/>
    </row>
    <row r="3" spans="1:9" ht="12.75">
      <c r="A3" s="156"/>
      <c r="B3" s="681" t="str">
        <f>'ТИП-ПРОИЗ'!$B$3:$C$3</f>
        <v>"Топлофикация- ....................." ЕАД</v>
      </c>
      <c r="C3" s="681"/>
      <c r="D3" s="156"/>
      <c r="E3" s="156"/>
      <c r="F3" s="156"/>
      <c r="G3" s="156"/>
      <c r="H3" s="156"/>
      <c r="I3" s="156"/>
    </row>
    <row r="4" spans="1:9" ht="12.75" customHeight="1" thickBot="1">
      <c r="A4" s="164"/>
      <c r="B4" s="164"/>
      <c r="C4" s="164"/>
      <c r="D4" s="164"/>
      <c r="E4" s="164"/>
      <c r="F4" s="164"/>
      <c r="G4" s="164"/>
      <c r="H4" s="164"/>
      <c r="I4" s="164"/>
    </row>
    <row r="5" spans="1:9" ht="13.5" thickTop="1">
      <c r="A5" s="674" t="s">
        <v>0</v>
      </c>
      <c r="B5" s="676" t="s">
        <v>1</v>
      </c>
      <c r="C5" s="676" t="s">
        <v>2</v>
      </c>
      <c r="D5" s="678">
        <f>'ТИП-ПРОИЗ'!E6</f>
        <v>2018.0000000000043</v>
      </c>
      <c r="E5" s="678"/>
      <c r="F5" s="678"/>
      <c r="G5" s="682">
        <f>'ТИП-ПРОИЗ'!F6</f>
        <v>7.2019</v>
      </c>
      <c r="H5" s="683"/>
      <c r="I5" s="684"/>
    </row>
    <row r="6" spans="1:9" ht="12.75">
      <c r="A6" s="675"/>
      <c r="B6" s="677"/>
      <c r="C6" s="677"/>
      <c r="D6" s="165" t="s">
        <v>251</v>
      </c>
      <c r="E6" s="165" t="s">
        <v>85</v>
      </c>
      <c r="F6" s="166" t="s">
        <v>152</v>
      </c>
      <c r="G6" s="165" t="s">
        <v>251</v>
      </c>
      <c r="H6" s="165" t="s">
        <v>85</v>
      </c>
      <c r="I6" s="521" t="s">
        <v>152</v>
      </c>
    </row>
    <row r="7" spans="1:9" ht="12.75">
      <c r="A7" s="167">
        <v>1</v>
      </c>
      <c r="B7" s="168">
        <v>2</v>
      </c>
      <c r="C7" s="168">
        <v>3</v>
      </c>
      <c r="D7" s="168">
        <v>4</v>
      </c>
      <c r="E7" s="168">
        <v>5</v>
      </c>
      <c r="F7" s="168" t="s">
        <v>80</v>
      </c>
      <c r="G7" s="168">
        <v>7</v>
      </c>
      <c r="H7" s="168">
        <v>8</v>
      </c>
      <c r="I7" s="169" t="s">
        <v>79</v>
      </c>
    </row>
    <row r="8" spans="1:9" ht="12.75">
      <c r="A8" s="170" t="s">
        <v>133</v>
      </c>
      <c r="B8" s="171" t="s">
        <v>151</v>
      </c>
      <c r="C8" s="172" t="s">
        <v>3</v>
      </c>
      <c r="D8" s="134">
        <f>SUM(D9:D10)</f>
        <v>0</v>
      </c>
      <c r="E8" s="134">
        <f>SUM(E9:E10)</f>
        <v>0</v>
      </c>
      <c r="F8" s="173">
        <f>SUM(D8:E8)</f>
        <v>0</v>
      </c>
      <c r="G8" s="134">
        <f>SUM(G9:G10)</f>
        <v>0</v>
      </c>
      <c r="H8" s="134">
        <f>SUM(H9:H10)</f>
        <v>0</v>
      </c>
      <c r="I8" s="174">
        <f>SUM(G8:H8)</f>
        <v>0</v>
      </c>
    </row>
    <row r="9" spans="1:9" ht="12.75">
      <c r="A9" s="175" t="s">
        <v>143</v>
      </c>
      <c r="B9" s="176" t="s">
        <v>39</v>
      </c>
      <c r="C9" s="177" t="s">
        <v>3</v>
      </c>
      <c r="D9" s="178">
        <f>РБА!D76*НВ!F$21</f>
        <v>0</v>
      </c>
      <c r="E9" s="178">
        <f>РБА!E76*НВ!F$21</f>
        <v>0</v>
      </c>
      <c r="F9" s="179">
        <f>SUM(D9,E9)</f>
        <v>0</v>
      </c>
      <c r="G9" s="178">
        <f>РБА!G76*НВ!G$21</f>
        <v>0</v>
      </c>
      <c r="H9" s="178">
        <f>РБА!H76*НВ!G$21</f>
        <v>0</v>
      </c>
      <c r="I9" s="180">
        <f>SUM(G9,H9)</f>
        <v>0</v>
      </c>
    </row>
    <row r="10" spans="1:9" ht="25.5">
      <c r="A10" s="170" t="s">
        <v>103</v>
      </c>
      <c r="B10" s="181" t="s">
        <v>173</v>
      </c>
      <c r="C10" s="182" t="s">
        <v>3</v>
      </c>
      <c r="D10" s="134">
        <f>SUM(D11,D61)</f>
        <v>0</v>
      </c>
      <c r="E10" s="134">
        <f>SUM(E11,E61)</f>
        <v>0</v>
      </c>
      <c r="F10" s="173">
        <f aca="true" t="shared" si="0" ref="F10:F27">SUM(D10:E10)</f>
        <v>0</v>
      </c>
      <c r="G10" s="134">
        <f>SUM(G11,G61)</f>
        <v>0</v>
      </c>
      <c r="H10" s="134">
        <f>SUM(H11,H61)</f>
        <v>0</v>
      </c>
      <c r="I10" s="174">
        <f aca="true" t="shared" si="1" ref="I10:I27">SUM(G10:H10)</f>
        <v>0</v>
      </c>
    </row>
    <row r="11" spans="1:9" ht="12.75">
      <c r="A11" s="183" t="s">
        <v>144</v>
      </c>
      <c r="B11" s="184" t="s">
        <v>169</v>
      </c>
      <c r="C11" s="185" t="s">
        <v>3</v>
      </c>
      <c r="D11" s="134">
        <f>SUM(D13,D18,D23:D24,D27,-D59,-D60)</f>
        <v>0</v>
      </c>
      <c r="E11" s="134">
        <f>SUM(E13,E18,E23:E24,E27,-E59,-E60)</f>
        <v>0</v>
      </c>
      <c r="F11" s="134">
        <f t="shared" si="0"/>
        <v>0</v>
      </c>
      <c r="G11" s="134">
        <f>SUM(G13,G18,G23:G24,G27,-G59,-G60)</f>
        <v>0</v>
      </c>
      <c r="H11" s="134">
        <f>SUM(H13,H18,H23:H24,H27,-H59,-H60)</f>
        <v>0</v>
      </c>
      <c r="I11" s="186">
        <f t="shared" si="1"/>
        <v>0</v>
      </c>
    </row>
    <row r="12" spans="1:9" ht="12.75">
      <c r="A12" s="183" t="s">
        <v>145</v>
      </c>
      <c r="B12" s="187" t="s">
        <v>442</v>
      </c>
      <c r="C12" s="185" t="s">
        <v>3</v>
      </c>
      <c r="D12" s="134">
        <f>SUM(D11,-D13)</f>
        <v>0</v>
      </c>
      <c r="E12" s="134">
        <f>SUM(E11,-E13)</f>
        <v>0</v>
      </c>
      <c r="F12" s="134">
        <f t="shared" si="0"/>
        <v>0</v>
      </c>
      <c r="G12" s="134">
        <f>SUM(G11,-G13)</f>
        <v>0</v>
      </c>
      <c r="H12" s="134">
        <f>SUM(H11,-H13)</f>
        <v>0</v>
      </c>
      <c r="I12" s="186">
        <f t="shared" si="1"/>
        <v>0</v>
      </c>
    </row>
    <row r="13" spans="1:9" ht="12.75">
      <c r="A13" s="188">
        <v>1</v>
      </c>
      <c r="B13" s="189" t="s">
        <v>4</v>
      </c>
      <c r="C13" s="190" t="s">
        <v>3</v>
      </c>
      <c r="D13" s="116">
        <f>SUM(D14:D15,D17)</f>
        <v>0</v>
      </c>
      <c r="E13" s="116">
        <f>SUM(E14:E15,E17)</f>
        <v>0</v>
      </c>
      <c r="F13" s="116">
        <f t="shared" si="0"/>
        <v>0</v>
      </c>
      <c r="G13" s="116">
        <f>SUM(G14:G15,G17)</f>
        <v>0</v>
      </c>
      <c r="H13" s="116">
        <f>SUM(H14:H15,H17)</f>
        <v>0</v>
      </c>
      <c r="I13" s="191">
        <f t="shared" si="1"/>
        <v>0</v>
      </c>
    </row>
    <row r="14" spans="1:9" ht="12.75">
      <c r="A14" s="192" t="s">
        <v>259</v>
      </c>
      <c r="B14" s="124" t="s">
        <v>170</v>
      </c>
      <c r="C14" s="190" t="s">
        <v>3</v>
      </c>
      <c r="D14" s="83"/>
      <c r="E14" s="71"/>
      <c r="F14" s="125">
        <f t="shared" si="0"/>
        <v>0</v>
      </c>
      <c r="G14" s="83"/>
      <c r="H14" s="71"/>
      <c r="I14" s="193">
        <f t="shared" si="1"/>
        <v>0</v>
      </c>
    </row>
    <row r="15" spans="1:9" ht="12.75">
      <c r="A15" s="192" t="s">
        <v>260</v>
      </c>
      <c r="B15" s="124" t="s">
        <v>439</v>
      </c>
      <c r="C15" s="190" t="s">
        <v>3</v>
      </c>
      <c r="D15" s="83"/>
      <c r="E15" s="9"/>
      <c r="F15" s="125">
        <f t="shared" si="0"/>
        <v>0</v>
      </c>
      <c r="G15" s="83"/>
      <c r="H15" s="9"/>
      <c r="I15" s="193">
        <f t="shared" si="1"/>
        <v>0</v>
      </c>
    </row>
    <row r="16" spans="1:9" ht="12.75">
      <c r="A16" s="192"/>
      <c r="B16" s="124" t="s">
        <v>441</v>
      </c>
      <c r="C16" s="190" t="s">
        <v>3</v>
      </c>
      <c r="D16" s="83"/>
      <c r="E16" s="71"/>
      <c r="F16" s="125"/>
      <c r="G16" s="83"/>
      <c r="H16" s="71"/>
      <c r="I16" s="193"/>
    </row>
    <row r="17" spans="1:9" ht="12.75">
      <c r="A17" s="192" t="s">
        <v>261</v>
      </c>
      <c r="B17" s="124" t="s">
        <v>127</v>
      </c>
      <c r="C17" s="190" t="s">
        <v>3</v>
      </c>
      <c r="D17" s="83"/>
      <c r="E17" s="71"/>
      <c r="F17" s="125">
        <f t="shared" si="0"/>
        <v>0</v>
      </c>
      <c r="G17" s="83"/>
      <c r="H17" s="71"/>
      <c r="I17" s="193">
        <f t="shared" si="1"/>
        <v>0</v>
      </c>
    </row>
    <row r="18" spans="1:9" ht="12.75">
      <c r="A18" s="188">
        <v>2</v>
      </c>
      <c r="B18" s="189" t="s">
        <v>172</v>
      </c>
      <c r="C18" s="190" t="s">
        <v>3</v>
      </c>
      <c r="D18" s="116">
        <f>SUM(D19:D20,D22)</f>
        <v>0</v>
      </c>
      <c r="E18" s="116">
        <f>SUM(E19:E20,E22)</f>
        <v>0</v>
      </c>
      <c r="F18" s="116">
        <f t="shared" si="0"/>
        <v>0</v>
      </c>
      <c r="G18" s="116">
        <f>SUM(G19:G20,G22)</f>
        <v>0</v>
      </c>
      <c r="H18" s="116">
        <f>SUM(H19:H20,H22)</f>
        <v>0</v>
      </c>
      <c r="I18" s="191">
        <f t="shared" si="1"/>
        <v>0</v>
      </c>
    </row>
    <row r="19" spans="1:9" ht="12.75">
      <c r="A19" s="194" t="s">
        <v>275</v>
      </c>
      <c r="B19" s="125" t="s">
        <v>171</v>
      </c>
      <c r="C19" s="190" t="s">
        <v>3</v>
      </c>
      <c r="D19" s="83"/>
      <c r="E19" s="71"/>
      <c r="F19" s="125">
        <f t="shared" si="0"/>
        <v>0</v>
      </c>
      <c r="G19" s="83"/>
      <c r="H19" s="71"/>
      <c r="I19" s="193">
        <f t="shared" si="1"/>
        <v>0</v>
      </c>
    </row>
    <row r="20" spans="1:9" ht="12.75">
      <c r="A20" s="194" t="s">
        <v>276</v>
      </c>
      <c r="B20" s="124" t="s">
        <v>439</v>
      </c>
      <c r="C20" s="190" t="s">
        <v>3</v>
      </c>
      <c r="D20" s="83"/>
      <c r="E20" s="9"/>
      <c r="F20" s="125">
        <f t="shared" si="0"/>
        <v>0</v>
      </c>
      <c r="G20" s="83"/>
      <c r="H20" s="9"/>
      <c r="I20" s="193">
        <f t="shared" si="1"/>
        <v>0</v>
      </c>
    </row>
    <row r="21" spans="1:9" ht="12.75">
      <c r="A21" s="194"/>
      <c r="B21" s="124" t="s">
        <v>440</v>
      </c>
      <c r="C21" s="190"/>
      <c r="D21" s="83"/>
      <c r="E21" s="71"/>
      <c r="F21" s="125"/>
      <c r="G21" s="83"/>
      <c r="H21" s="71"/>
      <c r="I21" s="193"/>
    </row>
    <row r="22" spans="1:9" ht="12.75">
      <c r="A22" s="194" t="s">
        <v>279</v>
      </c>
      <c r="B22" s="124" t="s">
        <v>127</v>
      </c>
      <c r="C22" s="190" t="s">
        <v>3</v>
      </c>
      <c r="D22" s="83"/>
      <c r="E22" s="71"/>
      <c r="F22" s="125">
        <f t="shared" si="0"/>
        <v>0</v>
      </c>
      <c r="G22" s="83"/>
      <c r="H22" s="71"/>
      <c r="I22" s="193">
        <f t="shared" si="1"/>
        <v>0</v>
      </c>
    </row>
    <row r="23" spans="1:9" ht="12.75">
      <c r="A23" s="188">
        <v>3</v>
      </c>
      <c r="B23" s="189" t="s">
        <v>119</v>
      </c>
      <c r="C23" s="190" t="s">
        <v>3</v>
      </c>
      <c r="D23" s="83"/>
      <c r="E23" s="9"/>
      <c r="F23" s="116">
        <f t="shared" si="0"/>
        <v>0</v>
      </c>
      <c r="G23" s="83"/>
      <c r="H23" s="9"/>
      <c r="I23" s="191">
        <f t="shared" si="1"/>
        <v>0</v>
      </c>
    </row>
    <row r="24" spans="1:9" ht="25.5" customHeight="1">
      <c r="A24" s="188">
        <v>4</v>
      </c>
      <c r="B24" s="195" t="s">
        <v>314</v>
      </c>
      <c r="C24" s="190" t="s">
        <v>3</v>
      </c>
      <c r="D24" s="124">
        <f>SUM(D25:D26)</f>
        <v>0</v>
      </c>
      <c r="E24" s="196">
        <f>SUM(E25:E26)</f>
        <v>0</v>
      </c>
      <c r="F24" s="116">
        <f t="shared" si="0"/>
        <v>0</v>
      </c>
      <c r="G24" s="124">
        <f>SUM(G25:G26)</f>
        <v>0</v>
      </c>
      <c r="H24" s="196">
        <f>SUM(H25:H26)</f>
        <v>0</v>
      </c>
      <c r="I24" s="191">
        <f t="shared" si="1"/>
        <v>0</v>
      </c>
    </row>
    <row r="25" spans="1:9" ht="12.75">
      <c r="A25" s="192" t="s">
        <v>252</v>
      </c>
      <c r="B25" s="197" t="s">
        <v>287</v>
      </c>
      <c r="C25" s="190" t="s">
        <v>3</v>
      </c>
      <c r="D25" s="54"/>
      <c r="E25" s="9"/>
      <c r="F25" s="116">
        <f t="shared" si="0"/>
        <v>0</v>
      </c>
      <c r="G25" s="54"/>
      <c r="H25" s="9"/>
      <c r="I25" s="191">
        <f t="shared" si="1"/>
        <v>0</v>
      </c>
    </row>
    <row r="26" spans="1:9" ht="12.75">
      <c r="A26" s="192" t="s">
        <v>253</v>
      </c>
      <c r="B26" s="197" t="s">
        <v>288</v>
      </c>
      <c r="C26" s="190" t="s">
        <v>3</v>
      </c>
      <c r="D26" s="54"/>
      <c r="E26" s="9"/>
      <c r="F26" s="116">
        <f t="shared" si="0"/>
        <v>0</v>
      </c>
      <c r="G26" s="54"/>
      <c r="H26" s="9"/>
      <c r="I26" s="191">
        <f t="shared" si="1"/>
        <v>0</v>
      </c>
    </row>
    <row r="27" spans="1:9" ht="25.5">
      <c r="A27" s="188">
        <v>5</v>
      </c>
      <c r="B27" s="189" t="s">
        <v>733</v>
      </c>
      <c r="C27" s="190" t="s">
        <v>3</v>
      </c>
      <c r="D27" s="125">
        <f>SUM(D28:D57)</f>
        <v>0</v>
      </c>
      <c r="E27" s="198">
        <f>SUM(E28:E57)</f>
        <v>0</v>
      </c>
      <c r="F27" s="116">
        <f t="shared" si="0"/>
        <v>0</v>
      </c>
      <c r="G27" s="125">
        <f>SUM(G28:G57)</f>
        <v>0</v>
      </c>
      <c r="H27" s="198">
        <f>SUM(H28:H57)</f>
        <v>0</v>
      </c>
      <c r="I27" s="191">
        <f t="shared" si="1"/>
        <v>0</v>
      </c>
    </row>
    <row r="28" spans="1:9" ht="12.75">
      <c r="A28" s="192" t="s">
        <v>266</v>
      </c>
      <c r="B28" s="197" t="s">
        <v>104</v>
      </c>
      <c r="C28" s="190" t="s">
        <v>3</v>
      </c>
      <c r="D28" s="54"/>
      <c r="E28" s="9"/>
      <c r="F28" s="125">
        <f aca="true" t="shared" si="2" ref="F28:F78">SUM(D28:E28)</f>
        <v>0</v>
      </c>
      <c r="G28" s="54"/>
      <c r="H28" s="9"/>
      <c r="I28" s="193">
        <f aca="true" t="shared" si="3" ref="I28:I51">SUM(G28:H28)</f>
        <v>0</v>
      </c>
    </row>
    <row r="29" spans="1:9" ht="12.75">
      <c r="A29" s="192" t="s">
        <v>267</v>
      </c>
      <c r="B29" s="197" t="s">
        <v>105</v>
      </c>
      <c r="C29" s="190" t="s">
        <v>3</v>
      </c>
      <c r="D29" s="54"/>
      <c r="E29" s="9"/>
      <c r="F29" s="125">
        <f t="shared" si="2"/>
        <v>0</v>
      </c>
      <c r="G29" s="54"/>
      <c r="H29" s="9"/>
      <c r="I29" s="193">
        <f t="shared" si="3"/>
        <v>0</v>
      </c>
    </row>
    <row r="30" spans="1:9" ht="12.75">
      <c r="A30" s="192" t="s">
        <v>268</v>
      </c>
      <c r="B30" s="197" t="s">
        <v>106</v>
      </c>
      <c r="C30" s="190" t="s">
        <v>3</v>
      </c>
      <c r="D30" s="54"/>
      <c r="E30" s="9"/>
      <c r="F30" s="125">
        <f t="shared" si="2"/>
        <v>0</v>
      </c>
      <c r="G30" s="54"/>
      <c r="H30" s="9"/>
      <c r="I30" s="193">
        <f t="shared" si="3"/>
        <v>0</v>
      </c>
    </row>
    <row r="31" spans="1:9" ht="12.75">
      <c r="A31" s="192" t="s">
        <v>269</v>
      </c>
      <c r="B31" s="197" t="s">
        <v>107</v>
      </c>
      <c r="C31" s="190" t="s">
        <v>3</v>
      </c>
      <c r="D31" s="54"/>
      <c r="E31" s="9"/>
      <c r="F31" s="125">
        <f t="shared" si="2"/>
        <v>0</v>
      </c>
      <c r="G31" s="54"/>
      <c r="H31" s="9"/>
      <c r="I31" s="193">
        <f t="shared" si="3"/>
        <v>0</v>
      </c>
    </row>
    <row r="32" spans="1:9" ht="12.75">
      <c r="A32" s="192" t="s">
        <v>270</v>
      </c>
      <c r="B32" s="197" t="s">
        <v>108</v>
      </c>
      <c r="C32" s="190" t="s">
        <v>3</v>
      </c>
      <c r="D32" s="54"/>
      <c r="E32" s="9"/>
      <c r="F32" s="125">
        <f t="shared" si="2"/>
        <v>0</v>
      </c>
      <c r="G32" s="54"/>
      <c r="H32" s="9"/>
      <c r="I32" s="193">
        <f t="shared" si="3"/>
        <v>0</v>
      </c>
    </row>
    <row r="33" spans="1:9" ht="12.75">
      <c r="A33" s="192" t="s">
        <v>271</v>
      </c>
      <c r="B33" s="197" t="s">
        <v>109</v>
      </c>
      <c r="C33" s="190" t="s">
        <v>3</v>
      </c>
      <c r="D33" s="54"/>
      <c r="E33" s="9"/>
      <c r="F33" s="125">
        <f t="shared" si="2"/>
        <v>0</v>
      </c>
      <c r="G33" s="54"/>
      <c r="H33" s="9"/>
      <c r="I33" s="193">
        <f t="shared" si="3"/>
        <v>0</v>
      </c>
    </row>
    <row r="34" spans="1:9" ht="25.5">
      <c r="A34" s="192" t="s">
        <v>289</v>
      </c>
      <c r="B34" s="197" t="s">
        <v>110</v>
      </c>
      <c r="C34" s="190" t="s">
        <v>3</v>
      </c>
      <c r="D34" s="54"/>
      <c r="E34" s="9"/>
      <c r="F34" s="125">
        <f t="shared" si="2"/>
        <v>0</v>
      </c>
      <c r="G34" s="54"/>
      <c r="H34" s="9"/>
      <c r="I34" s="193">
        <f t="shared" si="3"/>
        <v>0</v>
      </c>
    </row>
    <row r="35" spans="1:9" ht="12.75">
      <c r="A35" s="192" t="s">
        <v>290</v>
      </c>
      <c r="B35" s="197" t="s">
        <v>111</v>
      </c>
      <c r="C35" s="190" t="s">
        <v>3</v>
      </c>
      <c r="D35" s="54"/>
      <c r="E35" s="9"/>
      <c r="F35" s="125">
        <f t="shared" si="2"/>
        <v>0</v>
      </c>
      <c r="G35" s="54"/>
      <c r="H35" s="9"/>
      <c r="I35" s="193">
        <f t="shared" si="3"/>
        <v>0</v>
      </c>
    </row>
    <row r="36" spans="1:9" ht="12.75">
      <c r="A36" s="192" t="s">
        <v>291</v>
      </c>
      <c r="B36" s="197" t="s">
        <v>112</v>
      </c>
      <c r="C36" s="190" t="s">
        <v>3</v>
      </c>
      <c r="D36" s="54"/>
      <c r="E36" s="9"/>
      <c r="F36" s="125">
        <f t="shared" si="2"/>
        <v>0</v>
      </c>
      <c r="G36" s="54"/>
      <c r="H36" s="9"/>
      <c r="I36" s="193">
        <f t="shared" si="3"/>
        <v>0</v>
      </c>
    </row>
    <row r="37" spans="1:9" ht="12.75">
      <c r="A37" s="192" t="s">
        <v>307</v>
      </c>
      <c r="B37" s="197" t="s">
        <v>113</v>
      </c>
      <c r="C37" s="190" t="s">
        <v>3</v>
      </c>
      <c r="D37" s="54"/>
      <c r="E37" s="9"/>
      <c r="F37" s="125">
        <f t="shared" si="2"/>
        <v>0</v>
      </c>
      <c r="G37" s="54"/>
      <c r="H37" s="9"/>
      <c r="I37" s="193">
        <f t="shared" si="3"/>
        <v>0</v>
      </c>
    </row>
    <row r="38" spans="1:9" ht="12.75">
      <c r="A38" s="192" t="s">
        <v>292</v>
      </c>
      <c r="B38" s="197" t="s">
        <v>114</v>
      </c>
      <c r="C38" s="190" t="s">
        <v>3</v>
      </c>
      <c r="D38" s="54"/>
      <c r="E38" s="9"/>
      <c r="F38" s="125">
        <f t="shared" si="2"/>
        <v>0</v>
      </c>
      <c r="G38" s="54"/>
      <c r="H38" s="9"/>
      <c r="I38" s="193">
        <f t="shared" si="3"/>
        <v>0</v>
      </c>
    </row>
    <row r="39" spans="1:9" ht="12.75">
      <c r="A39" s="192" t="s">
        <v>293</v>
      </c>
      <c r="B39" s="197" t="s">
        <v>115</v>
      </c>
      <c r="C39" s="190" t="s">
        <v>3</v>
      </c>
      <c r="D39" s="54"/>
      <c r="E39" s="9"/>
      <c r="F39" s="125">
        <f t="shared" si="2"/>
        <v>0</v>
      </c>
      <c r="G39" s="54"/>
      <c r="H39" s="9"/>
      <c r="I39" s="193">
        <f t="shared" si="3"/>
        <v>0</v>
      </c>
    </row>
    <row r="40" spans="1:9" ht="12.75">
      <c r="A40" s="192" t="s">
        <v>294</v>
      </c>
      <c r="B40" s="197" t="s">
        <v>116</v>
      </c>
      <c r="C40" s="190" t="s">
        <v>3</v>
      </c>
      <c r="D40" s="54"/>
      <c r="E40" s="9"/>
      <c r="F40" s="125">
        <f t="shared" si="2"/>
        <v>0</v>
      </c>
      <c r="G40" s="54"/>
      <c r="H40" s="64"/>
      <c r="I40" s="193">
        <f t="shared" si="3"/>
        <v>0</v>
      </c>
    </row>
    <row r="41" spans="1:9" ht="12.75">
      <c r="A41" s="192" t="s">
        <v>295</v>
      </c>
      <c r="B41" s="197" t="s">
        <v>118</v>
      </c>
      <c r="C41" s="190" t="s">
        <v>3</v>
      </c>
      <c r="D41" s="54"/>
      <c r="E41" s="9"/>
      <c r="F41" s="125">
        <f t="shared" si="2"/>
        <v>0</v>
      </c>
      <c r="G41" s="54"/>
      <c r="H41" s="9"/>
      <c r="I41" s="193">
        <f t="shared" si="3"/>
        <v>0</v>
      </c>
    </row>
    <row r="42" spans="1:9" ht="25.5">
      <c r="A42" s="192" t="s">
        <v>296</v>
      </c>
      <c r="B42" s="197" t="s">
        <v>120</v>
      </c>
      <c r="C42" s="190" t="s">
        <v>3</v>
      </c>
      <c r="D42" s="54"/>
      <c r="E42" s="9"/>
      <c r="F42" s="124">
        <f aca="true" t="shared" si="4" ref="F42:F51">SUM(D42:E42)</f>
        <v>0</v>
      </c>
      <c r="G42" s="54"/>
      <c r="H42" s="69"/>
      <c r="I42" s="522">
        <f t="shared" si="3"/>
        <v>0</v>
      </c>
    </row>
    <row r="43" spans="1:9" ht="12.75">
      <c r="A43" s="192" t="s">
        <v>297</v>
      </c>
      <c r="B43" s="197" t="s">
        <v>121</v>
      </c>
      <c r="C43" s="190" t="s">
        <v>3</v>
      </c>
      <c r="D43" s="54"/>
      <c r="E43" s="9"/>
      <c r="F43" s="124">
        <f t="shared" si="4"/>
        <v>0</v>
      </c>
      <c r="G43" s="54"/>
      <c r="H43" s="70"/>
      <c r="I43" s="522">
        <f t="shared" si="3"/>
        <v>0</v>
      </c>
    </row>
    <row r="44" spans="1:9" ht="12.75">
      <c r="A44" s="192" t="s">
        <v>298</v>
      </c>
      <c r="B44" s="197" t="s">
        <v>122</v>
      </c>
      <c r="C44" s="190" t="s">
        <v>3</v>
      </c>
      <c r="D44" s="54"/>
      <c r="E44" s="9"/>
      <c r="F44" s="124">
        <f t="shared" si="4"/>
        <v>0</v>
      </c>
      <c r="G44" s="54"/>
      <c r="H44" s="70"/>
      <c r="I44" s="522">
        <f t="shared" si="3"/>
        <v>0</v>
      </c>
    </row>
    <row r="45" spans="1:9" ht="12.75">
      <c r="A45" s="192" t="s">
        <v>299</v>
      </c>
      <c r="B45" s="197" t="s">
        <v>123</v>
      </c>
      <c r="C45" s="190" t="s">
        <v>3</v>
      </c>
      <c r="D45" s="54"/>
      <c r="E45" s="9"/>
      <c r="F45" s="124">
        <f t="shared" si="4"/>
        <v>0</v>
      </c>
      <c r="G45" s="54"/>
      <c r="H45" s="70"/>
      <c r="I45" s="522">
        <f t="shared" si="3"/>
        <v>0</v>
      </c>
    </row>
    <row r="46" spans="1:9" ht="12.75">
      <c r="A46" s="192" t="s">
        <v>300</v>
      </c>
      <c r="B46" s="199" t="s">
        <v>124</v>
      </c>
      <c r="C46" s="190" t="s">
        <v>3</v>
      </c>
      <c r="D46" s="54"/>
      <c r="E46" s="9"/>
      <c r="F46" s="124">
        <f t="shared" si="4"/>
        <v>0</v>
      </c>
      <c r="G46" s="54"/>
      <c r="H46" s="9"/>
      <c r="I46" s="522">
        <f t="shared" si="3"/>
        <v>0</v>
      </c>
    </row>
    <row r="47" spans="1:9" ht="12.75">
      <c r="A47" s="192" t="s">
        <v>301</v>
      </c>
      <c r="B47" s="199" t="s">
        <v>125</v>
      </c>
      <c r="C47" s="190" t="s">
        <v>3</v>
      </c>
      <c r="D47" s="54"/>
      <c r="E47" s="9"/>
      <c r="F47" s="124">
        <f t="shared" si="4"/>
        <v>0</v>
      </c>
      <c r="G47" s="54"/>
      <c r="H47" s="9"/>
      <c r="I47" s="522">
        <f t="shared" si="3"/>
        <v>0</v>
      </c>
    </row>
    <row r="48" spans="1:9" ht="12.75">
      <c r="A48" s="192" t="s">
        <v>302</v>
      </c>
      <c r="B48" s="199" t="s">
        <v>126</v>
      </c>
      <c r="C48" s="190" t="s">
        <v>3</v>
      </c>
      <c r="D48" s="54"/>
      <c r="E48" s="9"/>
      <c r="F48" s="124">
        <f t="shared" si="4"/>
        <v>0</v>
      </c>
      <c r="G48" s="54"/>
      <c r="H48" s="9"/>
      <c r="I48" s="522">
        <f t="shared" si="3"/>
        <v>0</v>
      </c>
    </row>
    <row r="49" spans="1:9" ht="12.75">
      <c r="A49" s="192" t="s">
        <v>303</v>
      </c>
      <c r="B49" s="200" t="s">
        <v>318</v>
      </c>
      <c r="C49" s="190" t="s">
        <v>3</v>
      </c>
      <c r="D49" s="54"/>
      <c r="E49" s="9"/>
      <c r="F49" s="124">
        <f t="shared" si="4"/>
        <v>0</v>
      </c>
      <c r="G49" s="54"/>
      <c r="H49" s="9"/>
      <c r="I49" s="522">
        <f t="shared" si="3"/>
        <v>0</v>
      </c>
    </row>
    <row r="50" spans="1:9" ht="12.75">
      <c r="A50" s="192" t="s">
        <v>304</v>
      </c>
      <c r="B50" s="201" t="s">
        <v>117</v>
      </c>
      <c r="C50" s="190" t="s">
        <v>3</v>
      </c>
      <c r="D50" s="54"/>
      <c r="E50" s="9"/>
      <c r="F50" s="125">
        <f t="shared" si="4"/>
        <v>0</v>
      </c>
      <c r="G50" s="54"/>
      <c r="H50" s="64"/>
      <c r="I50" s="193">
        <f t="shared" si="3"/>
        <v>0</v>
      </c>
    </row>
    <row r="51" spans="1:9" ht="12.75">
      <c r="A51" s="192" t="s">
        <v>305</v>
      </c>
      <c r="B51" s="201"/>
      <c r="C51" s="190" t="s">
        <v>3</v>
      </c>
      <c r="D51" s="83"/>
      <c r="E51" s="9"/>
      <c r="F51" s="124">
        <f t="shared" si="4"/>
        <v>0</v>
      </c>
      <c r="G51" s="83"/>
      <c r="H51" s="9"/>
      <c r="I51" s="522">
        <f t="shared" si="3"/>
        <v>0</v>
      </c>
    </row>
    <row r="52" spans="1:9" ht="12.75">
      <c r="A52" s="192" t="s">
        <v>306</v>
      </c>
      <c r="B52" s="202"/>
      <c r="C52" s="190"/>
      <c r="D52" s="54"/>
      <c r="E52" s="9"/>
      <c r="F52" s="124"/>
      <c r="G52" s="54"/>
      <c r="H52" s="9"/>
      <c r="I52" s="522"/>
    </row>
    <row r="53" spans="1:9" ht="12.75">
      <c r="A53" s="192" t="s">
        <v>308</v>
      </c>
      <c r="B53" s="202"/>
      <c r="C53" s="190"/>
      <c r="D53" s="54"/>
      <c r="E53" s="9"/>
      <c r="F53" s="124"/>
      <c r="G53" s="54"/>
      <c r="H53" s="9"/>
      <c r="I53" s="522"/>
    </row>
    <row r="54" spans="1:9" ht="12.75">
      <c r="A54" s="192" t="s">
        <v>309</v>
      </c>
      <c r="B54" s="202"/>
      <c r="C54" s="190"/>
      <c r="D54" s="54"/>
      <c r="E54" s="9"/>
      <c r="F54" s="124"/>
      <c r="G54" s="54"/>
      <c r="H54" s="9"/>
      <c r="I54" s="522"/>
    </row>
    <row r="55" spans="1:9" ht="12.75">
      <c r="A55" s="192" t="s">
        <v>310</v>
      </c>
      <c r="B55" s="202"/>
      <c r="C55" s="190"/>
      <c r="D55" s="54"/>
      <c r="E55" s="9"/>
      <c r="F55" s="124"/>
      <c r="G55" s="54"/>
      <c r="H55" s="9"/>
      <c r="I55" s="522"/>
    </row>
    <row r="56" spans="1:9" ht="12.75">
      <c r="A56" s="192" t="s">
        <v>311</v>
      </c>
      <c r="B56" s="202"/>
      <c r="C56" s="190"/>
      <c r="D56" s="54"/>
      <c r="E56" s="9"/>
      <c r="F56" s="124"/>
      <c r="G56" s="54"/>
      <c r="H56" s="9"/>
      <c r="I56" s="522"/>
    </row>
    <row r="57" spans="1:9" ht="12.75">
      <c r="A57" s="192" t="s">
        <v>312</v>
      </c>
      <c r="B57" s="202"/>
      <c r="C57" s="190"/>
      <c r="D57" s="54"/>
      <c r="E57" s="9"/>
      <c r="F57" s="124"/>
      <c r="G57" s="54"/>
      <c r="H57" s="9"/>
      <c r="I57" s="522"/>
    </row>
    <row r="58" spans="1:9" ht="25.5">
      <c r="A58" s="188">
        <v>8</v>
      </c>
      <c r="B58" s="203" t="s">
        <v>95</v>
      </c>
      <c r="C58" s="190" t="s">
        <v>96</v>
      </c>
      <c r="D58" s="54"/>
      <c r="E58" s="9"/>
      <c r="F58" s="124">
        <f t="shared" si="2"/>
        <v>0</v>
      </c>
      <c r="G58" s="54"/>
      <c r="H58" s="9"/>
      <c r="I58" s="522">
        <f aca="true" t="shared" si="5" ref="I58:I68">SUM(G58:H58)</f>
        <v>0</v>
      </c>
    </row>
    <row r="59" spans="1:9" ht="12.75">
      <c r="A59" s="188">
        <v>9</v>
      </c>
      <c r="B59" s="204" t="s">
        <v>88</v>
      </c>
      <c r="C59" s="190" t="s">
        <v>3</v>
      </c>
      <c r="D59" s="54"/>
      <c r="E59" s="9"/>
      <c r="F59" s="124">
        <f t="shared" si="2"/>
        <v>0</v>
      </c>
      <c r="G59" s="54"/>
      <c r="H59" s="9"/>
      <c r="I59" s="522">
        <f t="shared" si="5"/>
        <v>0</v>
      </c>
    </row>
    <row r="60" spans="1:9" ht="12.75">
      <c r="A60" s="188">
        <v>10</v>
      </c>
      <c r="B60" s="204" t="s">
        <v>99</v>
      </c>
      <c r="C60" s="190" t="s">
        <v>3</v>
      </c>
      <c r="D60" s="54"/>
      <c r="E60" s="9"/>
      <c r="F60" s="124">
        <f t="shared" si="2"/>
        <v>0</v>
      </c>
      <c r="G60" s="54"/>
      <c r="H60" s="9"/>
      <c r="I60" s="522">
        <f t="shared" si="5"/>
        <v>0</v>
      </c>
    </row>
    <row r="61" spans="1:9" s="206" customFormat="1" ht="12.75">
      <c r="A61" s="170" t="s">
        <v>145</v>
      </c>
      <c r="B61" s="205" t="s">
        <v>8</v>
      </c>
      <c r="C61" s="185" t="s">
        <v>3</v>
      </c>
      <c r="D61" s="173">
        <f>SUM(D62,D78:D79,D82,D85)</f>
        <v>0</v>
      </c>
      <c r="E61" s="173">
        <f>SUM(E62,E78:E85)</f>
        <v>0</v>
      </c>
      <c r="F61" s="173">
        <f t="shared" si="2"/>
        <v>0</v>
      </c>
      <c r="G61" s="173">
        <f>SUM(G62,G78:G79,G82,G85)</f>
        <v>0</v>
      </c>
      <c r="H61" s="173">
        <f>SUM(H62,H78:H85)</f>
        <v>0</v>
      </c>
      <c r="I61" s="174">
        <f t="shared" si="5"/>
        <v>0</v>
      </c>
    </row>
    <row r="62" spans="1:9" ht="12.75">
      <c r="A62" s="207">
        <v>1</v>
      </c>
      <c r="B62" s="208" t="s">
        <v>438</v>
      </c>
      <c r="C62" s="198" t="s">
        <v>3</v>
      </c>
      <c r="D62" s="124">
        <f>SUM(D63,D69,D75:D77)</f>
        <v>0</v>
      </c>
      <c r="E62" s="124">
        <f>SUM(E63,E69,E75:E77)</f>
        <v>0</v>
      </c>
      <c r="F62" s="124">
        <f>SUM(D62:E62)</f>
        <v>0</v>
      </c>
      <c r="G62" s="124">
        <f>SUM(G63,G69,G75:G77)</f>
        <v>0</v>
      </c>
      <c r="H62" s="124">
        <f>SUM(H63,H69,H75:H77)</f>
        <v>0</v>
      </c>
      <c r="I62" s="522">
        <f t="shared" si="5"/>
        <v>0</v>
      </c>
    </row>
    <row r="63" spans="1:9" s="211" customFormat="1" ht="25.5">
      <c r="A63" s="209" t="s">
        <v>83</v>
      </c>
      <c r="B63" s="210" t="s">
        <v>530</v>
      </c>
      <c r="C63" s="198" t="s">
        <v>3</v>
      </c>
      <c r="D63" s="125">
        <f>SUM(D64:D68)</f>
        <v>0</v>
      </c>
      <c r="E63" s="125"/>
      <c r="F63" s="125">
        <f t="shared" si="2"/>
        <v>0</v>
      </c>
      <c r="G63" s="125">
        <f>SUM(G64:G68)</f>
        <v>0</v>
      </c>
      <c r="H63" s="125"/>
      <c r="I63" s="193">
        <f t="shared" si="5"/>
        <v>0</v>
      </c>
    </row>
    <row r="64" spans="1:9" ht="12.75">
      <c r="A64" s="209" t="s">
        <v>323</v>
      </c>
      <c r="B64" s="212" t="s">
        <v>9</v>
      </c>
      <c r="C64" s="198" t="s">
        <v>3</v>
      </c>
      <c r="D64" s="125">
        <f>ROUND('ТИП-ПРОИЗ'!E33*'ТИП-ПРОИЗ'!E86/1000,3)</f>
        <v>0</v>
      </c>
      <c r="E64" s="125"/>
      <c r="F64" s="125">
        <f t="shared" si="2"/>
        <v>0</v>
      </c>
      <c r="G64" s="125">
        <f>ROUND('ТИП-ПРОИЗ'!F33*'ТИП-ПРОИЗ'!F86/1000,3)</f>
        <v>0</v>
      </c>
      <c r="H64" s="125"/>
      <c r="I64" s="193">
        <f t="shared" si="5"/>
        <v>0</v>
      </c>
    </row>
    <row r="65" spans="1:9" ht="12.75">
      <c r="A65" s="209" t="s">
        <v>324</v>
      </c>
      <c r="B65" s="212" t="s">
        <v>10</v>
      </c>
      <c r="C65" s="198" t="s">
        <v>3</v>
      </c>
      <c r="D65" s="125">
        <f>ROUND('ТИП-ПРОИЗ'!E34*'ТИП-ПРОИЗ'!E87/1000,3)</f>
        <v>0</v>
      </c>
      <c r="E65" s="125"/>
      <c r="F65" s="125">
        <f t="shared" si="2"/>
        <v>0</v>
      </c>
      <c r="G65" s="125">
        <f>ROUND('ТИП-ПРОИЗ'!F34*'ТИП-ПРОИЗ'!F87/1000,3)</f>
        <v>0</v>
      </c>
      <c r="H65" s="125"/>
      <c r="I65" s="193">
        <f t="shared" si="5"/>
        <v>0</v>
      </c>
    </row>
    <row r="66" spans="1:9" ht="12.75">
      <c r="A66" s="209" t="s">
        <v>325</v>
      </c>
      <c r="B66" s="212" t="s">
        <v>12</v>
      </c>
      <c r="C66" s="198" t="s">
        <v>3</v>
      </c>
      <c r="D66" s="125">
        <f>ROUND('ТИП-ПРОИЗ'!E35*'ТИП-ПРОИЗ'!E88/1000,3)</f>
        <v>0</v>
      </c>
      <c r="E66" s="125"/>
      <c r="F66" s="125">
        <f t="shared" si="2"/>
        <v>0</v>
      </c>
      <c r="G66" s="125">
        <f>ROUND('ТИП-ПРОИЗ'!F35*'ТИП-ПРОИЗ'!F88/1000,3)</f>
        <v>0</v>
      </c>
      <c r="H66" s="125"/>
      <c r="I66" s="193">
        <f t="shared" si="5"/>
        <v>0</v>
      </c>
    </row>
    <row r="67" spans="1:9" ht="12.75">
      <c r="A67" s="209" t="s">
        <v>326</v>
      </c>
      <c r="B67" s="212" t="s">
        <v>11</v>
      </c>
      <c r="C67" s="198" t="s">
        <v>3</v>
      </c>
      <c r="D67" s="125">
        <f>ROUND('ТИП-ПРОИЗ'!E36*'ТИП-ПРОИЗ'!E89/1000,3)</f>
        <v>0</v>
      </c>
      <c r="E67" s="125"/>
      <c r="F67" s="125">
        <f t="shared" si="2"/>
        <v>0</v>
      </c>
      <c r="G67" s="125">
        <f>ROUND('ТИП-ПРОИЗ'!F36*'ТИП-ПРОИЗ'!F89/1000,3)</f>
        <v>0</v>
      </c>
      <c r="H67" s="125"/>
      <c r="I67" s="193">
        <f t="shared" si="5"/>
        <v>0</v>
      </c>
    </row>
    <row r="68" spans="1:9" ht="12.75">
      <c r="A68" s="209" t="s">
        <v>723</v>
      </c>
      <c r="B68" s="212" t="str">
        <f>'ТИП-ПРОИЗ'!B79</f>
        <v>друг вид гориво (ВЕИ)</v>
      </c>
      <c r="C68" s="198" t="s">
        <v>3</v>
      </c>
      <c r="D68" s="125">
        <f>ROUND('ТИП-ПРОИЗ'!E37*'ТИП-ПРОИЗ'!E90/1000,3)</f>
        <v>0</v>
      </c>
      <c r="E68" s="125"/>
      <c r="F68" s="125">
        <f t="shared" si="2"/>
        <v>0</v>
      </c>
      <c r="G68" s="125">
        <f>ROUND('ТИП-ПРОИЗ'!F37*'ТИП-ПРОИЗ'!F90/1000,3)</f>
        <v>0</v>
      </c>
      <c r="H68" s="125"/>
      <c r="I68" s="193">
        <f t="shared" si="5"/>
        <v>0</v>
      </c>
    </row>
    <row r="69" spans="1:9" s="211" customFormat="1" ht="25.5" customHeight="1">
      <c r="A69" s="209" t="s">
        <v>84</v>
      </c>
      <c r="B69" s="213" t="s">
        <v>529</v>
      </c>
      <c r="C69" s="198" t="s">
        <v>3</v>
      </c>
      <c r="D69" s="125">
        <f>SUM(D70:D74)</f>
        <v>0</v>
      </c>
      <c r="E69" s="125"/>
      <c r="F69" s="125">
        <f aca="true" t="shared" si="6" ref="F69:F74">SUM(D69:E69)</f>
        <v>0</v>
      </c>
      <c r="G69" s="125">
        <f>SUM(G70:G74)</f>
        <v>0</v>
      </c>
      <c r="H69" s="125"/>
      <c r="I69" s="193">
        <f aca="true" t="shared" si="7" ref="I69:I74">SUM(G69:H69)</f>
        <v>0</v>
      </c>
    </row>
    <row r="70" spans="1:9" ht="12.75">
      <c r="A70" s="209" t="s">
        <v>520</v>
      </c>
      <c r="B70" s="212" t="s">
        <v>9</v>
      </c>
      <c r="C70" s="198" t="s">
        <v>3</v>
      </c>
      <c r="D70" s="125">
        <f>ROUND('ТИП-ПРОИЗ'!E50*'ТИП-ПРОИЗ'!E86/1000,3)</f>
        <v>0</v>
      </c>
      <c r="E70" s="125"/>
      <c r="F70" s="125">
        <f t="shared" si="6"/>
        <v>0</v>
      </c>
      <c r="G70" s="125">
        <f>ROUND('ТИП-ПРОИЗ'!F50*'ТИП-ПРОИЗ'!F86/1000,3)</f>
        <v>0</v>
      </c>
      <c r="H70" s="125"/>
      <c r="I70" s="193">
        <f t="shared" si="7"/>
        <v>0</v>
      </c>
    </row>
    <row r="71" spans="1:9" ht="12.75">
      <c r="A71" s="209" t="s">
        <v>521</v>
      </c>
      <c r="B71" s="212" t="s">
        <v>10</v>
      </c>
      <c r="C71" s="198" t="s">
        <v>3</v>
      </c>
      <c r="D71" s="125">
        <f>ROUND('ТИП-ПРОИЗ'!E51*'ТИП-ПРОИЗ'!E87/1000,3)</f>
        <v>0</v>
      </c>
      <c r="E71" s="125"/>
      <c r="F71" s="125">
        <f t="shared" si="6"/>
        <v>0</v>
      </c>
      <c r="G71" s="125">
        <f>ROUND('ТИП-ПРОИЗ'!F51*'ТИП-ПРОИЗ'!F87/1000,3)</f>
        <v>0</v>
      </c>
      <c r="H71" s="125"/>
      <c r="I71" s="193">
        <f t="shared" si="7"/>
        <v>0</v>
      </c>
    </row>
    <row r="72" spans="1:9" ht="12.75">
      <c r="A72" s="209" t="s">
        <v>522</v>
      </c>
      <c r="B72" s="212" t="s">
        <v>12</v>
      </c>
      <c r="C72" s="198" t="s">
        <v>3</v>
      </c>
      <c r="D72" s="125">
        <f>ROUND('ТИП-ПРОИЗ'!E52*'ТИП-ПРОИЗ'!E88/1000,3)</f>
        <v>0</v>
      </c>
      <c r="E72" s="125"/>
      <c r="F72" s="125">
        <f t="shared" si="6"/>
        <v>0</v>
      </c>
      <c r="G72" s="125">
        <f>ROUND('ТИП-ПРОИЗ'!F52*'ТИП-ПРОИЗ'!F88/1000,3)</f>
        <v>0</v>
      </c>
      <c r="H72" s="125"/>
      <c r="I72" s="193">
        <f t="shared" si="7"/>
        <v>0</v>
      </c>
    </row>
    <row r="73" spans="1:9" ht="12.75">
      <c r="A73" s="209" t="s">
        <v>523</v>
      </c>
      <c r="B73" s="212" t="s">
        <v>11</v>
      </c>
      <c r="C73" s="198" t="s">
        <v>3</v>
      </c>
      <c r="D73" s="125">
        <f>ROUND('ТИП-ПРОИЗ'!E53*'ТИП-ПРОИЗ'!E89/1000,3)</f>
        <v>0</v>
      </c>
      <c r="E73" s="125"/>
      <c r="F73" s="125">
        <f t="shared" si="6"/>
        <v>0</v>
      </c>
      <c r="G73" s="125">
        <f>ROUND('ТИП-ПРОИЗ'!F53*'ТИП-ПРОИЗ'!F89/1000,3)</f>
        <v>0</v>
      </c>
      <c r="H73" s="125"/>
      <c r="I73" s="193">
        <f t="shared" si="7"/>
        <v>0</v>
      </c>
    </row>
    <row r="74" spans="1:9" ht="12.75">
      <c r="A74" s="209" t="s">
        <v>724</v>
      </c>
      <c r="B74" s="212" t="str">
        <f>'ТИП-ПРОИЗ'!B54</f>
        <v>друг вид гориво (ВЕИ)</v>
      </c>
      <c r="C74" s="198" t="s">
        <v>3</v>
      </c>
      <c r="D74" s="125">
        <f>ROUND('ТИП-ПРОИЗ'!E54*'ТИП-ПРОИЗ'!E90/1000,3)</f>
        <v>0</v>
      </c>
      <c r="E74" s="125"/>
      <c r="F74" s="125">
        <f t="shared" si="6"/>
        <v>0</v>
      </c>
      <c r="G74" s="125">
        <f>ROUND('ТИП-ПРОИЗ'!F54*'ТИП-ПРОИЗ'!F90/1000,3)</f>
        <v>0</v>
      </c>
      <c r="H74" s="125"/>
      <c r="I74" s="193">
        <f t="shared" si="7"/>
        <v>0</v>
      </c>
    </row>
    <row r="75" spans="1:9" ht="12.75">
      <c r="A75" s="209" t="s">
        <v>101</v>
      </c>
      <c r="B75" s="214" t="s">
        <v>13</v>
      </c>
      <c r="C75" s="198" t="s">
        <v>3</v>
      </c>
      <c r="D75" s="83"/>
      <c r="E75" s="65"/>
      <c r="F75" s="125">
        <f t="shared" si="2"/>
        <v>0</v>
      </c>
      <c r="G75" s="83"/>
      <c r="H75" s="65"/>
      <c r="I75" s="193">
        <f aca="true" t="shared" si="8" ref="I75:I85">SUM(G75:H75)</f>
        <v>0</v>
      </c>
    </row>
    <row r="76" spans="1:9" ht="12.75">
      <c r="A76" s="209" t="s">
        <v>102</v>
      </c>
      <c r="B76" s="214" t="s">
        <v>313</v>
      </c>
      <c r="C76" s="198" t="s">
        <v>3</v>
      </c>
      <c r="D76" s="83"/>
      <c r="E76" s="65"/>
      <c r="F76" s="125">
        <f t="shared" si="2"/>
        <v>0</v>
      </c>
      <c r="G76" s="83"/>
      <c r="H76" s="65"/>
      <c r="I76" s="193">
        <f t="shared" si="8"/>
        <v>0</v>
      </c>
    </row>
    <row r="77" spans="1:9" ht="12.75">
      <c r="A77" s="209" t="s">
        <v>524</v>
      </c>
      <c r="B77" s="214" t="s">
        <v>131</v>
      </c>
      <c r="C77" s="198" t="s">
        <v>3</v>
      </c>
      <c r="D77" s="83"/>
      <c r="E77" s="65"/>
      <c r="F77" s="125">
        <f t="shared" si="2"/>
        <v>0</v>
      </c>
      <c r="G77" s="83"/>
      <c r="H77" s="65"/>
      <c r="I77" s="193">
        <f t="shared" si="8"/>
        <v>0</v>
      </c>
    </row>
    <row r="78" spans="1:9" ht="12.75">
      <c r="A78" s="215">
        <v>2</v>
      </c>
      <c r="B78" s="214" t="s">
        <v>100</v>
      </c>
      <c r="C78" s="198" t="s">
        <v>3</v>
      </c>
      <c r="D78" s="65"/>
      <c r="E78" s="65"/>
      <c r="F78" s="125">
        <f t="shared" si="2"/>
        <v>0</v>
      </c>
      <c r="G78" s="65"/>
      <c r="H78" s="65"/>
      <c r="I78" s="193">
        <f t="shared" si="8"/>
        <v>0</v>
      </c>
    </row>
    <row r="79" spans="1:9" ht="12.75">
      <c r="A79" s="216" t="s">
        <v>432</v>
      </c>
      <c r="B79" s="217" t="s">
        <v>527</v>
      </c>
      <c r="C79" s="218" t="s">
        <v>3</v>
      </c>
      <c r="D79" s="219">
        <f>SUM(D80,D81)</f>
        <v>0</v>
      </c>
      <c r="E79" s="220"/>
      <c r="F79" s="221">
        <f aca="true" t="shared" si="9" ref="F79:F85">SUM(D79:E79)</f>
        <v>0</v>
      </c>
      <c r="G79" s="219">
        <f>SUM(G80,G81)</f>
        <v>0</v>
      </c>
      <c r="H79" s="220"/>
      <c r="I79" s="222">
        <f>SUM(G79:H79)</f>
        <v>0</v>
      </c>
    </row>
    <row r="80" spans="1:9" ht="12.75">
      <c r="A80" s="223" t="s">
        <v>264</v>
      </c>
      <c r="B80" s="212" t="s">
        <v>525</v>
      </c>
      <c r="C80" s="198" t="s">
        <v>3</v>
      </c>
      <c r="D80" s="125">
        <f>ROUND('ТИП-ПРОИЗ'!E38*'ТИП-ПРОИЗ'!$B38/1000,3)</f>
        <v>0</v>
      </c>
      <c r="E80" s="125"/>
      <c r="F80" s="125">
        <f t="shared" si="9"/>
        <v>0</v>
      </c>
      <c r="G80" s="125">
        <f>ROUND('ТИП-ПРОИЗ'!F38*'ТИП-ПРОИЗ'!$B38/1000,3)</f>
        <v>0</v>
      </c>
      <c r="H80" s="125"/>
      <c r="I80" s="193">
        <f>SUM(G80:H80)</f>
        <v>0</v>
      </c>
    </row>
    <row r="81" spans="1:9" ht="12.75">
      <c r="A81" s="223" t="s">
        <v>265</v>
      </c>
      <c r="B81" s="212" t="s">
        <v>526</v>
      </c>
      <c r="C81" s="198" t="s">
        <v>3</v>
      </c>
      <c r="D81" s="125">
        <f>ROUND('ТИП-ПРОИЗ'!E55*'ТИП-ПРОИЗ'!$B55/1000,3)</f>
        <v>0</v>
      </c>
      <c r="E81" s="125"/>
      <c r="F81" s="125">
        <f t="shared" si="9"/>
        <v>0</v>
      </c>
      <c r="G81" s="125">
        <f>ROUND('ТИП-ПРОИЗ'!F55*'ТИП-ПРОИЗ'!$B55/1000,3)</f>
        <v>0</v>
      </c>
      <c r="H81" s="125"/>
      <c r="I81" s="193">
        <f>SUM(G81:H81)</f>
        <v>0</v>
      </c>
    </row>
    <row r="82" spans="1:9" ht="25.5">
      <c r="A82" s="209" t="s">
        <v>433</v>
      </c>
      <c r="B82" s="224" t="s">
        <v>528</v>
      </c>
      <c r="C82" s="198" t="s">
        <v>3</v>
      </c>
      <c r="D82" s="219">
        <f>SUM(D83:D84)</f>
        <v>0</v>
      </c>
      <c r="E82" s="220"/>
      <c r="F82" s="221">
        <f t="shared" si="9"/>
        <v>0</v>
      </c>
      <c r="G82" s="219">
        <f>SUM(G83:G84)</f>
        <v>0</v>
      </c>
      <c r="H82" s="220"/>
      <c r="I82" s="222">
        <f>SUM(G82:H82)</f>
        <v>0</v>
      </c>
    </row>
    <row r="83" spans="1:9" ht="25.5">
      <c r="A83" s="209" t="s">
        <v>252</v>
      </c>
      <c r="B83" s="224" t="s">
        <v>531</v>
      </c>
      <c r="C83" s="198" t="s">
        <v>3</v>
      </c>
      <c r="D83" s="219">
        <f>'ТИП-ПРОИЗ'!$B39*'ТИП-ПРОИЗ'!E39/1000</f>
        <v>0</v>
      </c>
      <c r="F83" s="220"/>
      <c r="G83" s="219">
        <f>'ТИП-ПРОИЗ'!$B39*'ТИП-ПРОИЗ'!F39/1000</f>
        <v>0</v>
      </c>
      <c r="H83" s="220"/>
      <c r="I83" s="222">
        <f>SUM(G83:H83)</f>
        <v>0</v>
      </c>
    </row>
    <row r="84" spans="1:9" ht="25.5">
      <c r="A84" s="209" t="s">
        <v>253</v>
      </c>
      <c r="B84" s="224" t="s">
        <v>532</v>
      </c>
      <c r="C84" s="198" t="s">
        <v>3</v>
      </c>
      <c r="D84" s="219">
        <f>'ТИП-ПРОИЗ'!$B56*'ТИП-ПРОИЗ'!E56/1000</f>
        <v>0</v>
      </c>
      <c r="E84" s="220"/>
      <c r="F84" s="221">
        <f t="shared" si="9"/>
        <v>0</v>
      </c>
      <c r="G84" s="219">
        <f>'ТИП-ПРОИЗ'!$B56*'ТИП-ПРОИЗ'!F56/1000</f>
        <v>0</v>
      </c>
      <c r="H84" s="220"/>
      <c r="I84" s="222">
        <f t="shared" si="8"/>
        <v>0</v>
      </c>
    </row>
    <row r="85" spans="1:9" ht="26.25" thickBot="1">
      <c r="A85" s="225" t="s">
        <v>434</v>
      </c>
      <c r="B85" s="226" t="s">
        <v>431</v>
      </c>
      <c r="C85" s="227" t="s">
        <v>3</v>
      </c>
      <c r="D85" s="228">
        <f>'ТИП-ПРОИЗ'!E98*'ТИП-ПРОИЗ'!E100/1000</f>
        <v>0</v>
      </c>
      <c r="E85" s="229"/>
      <c r="F85" s="228">
        <f t="shared" si="9"/>
        <v>0</v>
      </c>
      <c r="G85" s="228">
        <f>'ТИП-ПРОИЗ'!F98*'ТИП-ПРОИЗ'!F100/1000</f>
        <v>0</v>
      </c>
      <c r="H85" s="229"/>
      <c r="I85" s="230">
        <f t="shared" si="8"/>
        <v>0</v>
      </c>
    </row>
    <row r="86" ht="13.5" thickTop="1"/>
    <row r="87" spans="1:9" ht="12.75">
      <c r="A87" s="231" t="s">
        <v>128</v>
      </c>
      <c r="B87" s="232"/>
      <c r="C87" s="233"/>
      <c r="D87" s="234"/>
      <c r="E87" s="234"/>
      <c r="F87" s="235"/>
      <c r="G87" s="235"/>
      <c r="H87" s="235"/>
      <c r="I87" s="235"/>
    </row>
    <row r="88" ht="12.75">
      <c r="A88" s="136" t="s">
        <v>129</v>
      </c>
    </row>
    <row r="89" ht="12.75">
      <c r="A89" s="136" t="s">
        <v>130</v>
      </c>
    </row>
    <row r="90" ht="12.75"/>
    <row r="91" spans="1:5" ht="12.75">
      <c r="A91" s="136" t="s">
        <v>255</v>
      </c>
      <c r="E91" s="236" t="s">
        <v>254</v>
      </c>
    </row>
    <row r="92" ht="12.75"/>
    <row r="93" spans="2:9" ht="12.75">
      <c r="B93" s="237" t="s">
        <v>256</v>
      </c>
      <c r="F93" s="679" t="s">
        <v>257</v>
      </c>
      <c r="G93" s="679"/>
      <c r="H93" s="679"/>
      <c r="I93" s="679"/>
    </row>
    <row r="94" ht="12.75"/>
    <row r="95" ht="12.75" hidden="1"/>
    <row r="96" spans="1:9" ht="12.75" hidden="1">
      <c r="A96" s="238"/>
      <c r="B96" s="239"/>
      <c r="C96" s="238"/>
      <c r="D96" s="238"/>
      <c r="E96" s="238"/>
      <c r="F96" s="238"/>
      <c r="G96" s="238"/>
      <c r="H96" s="238"/>
      <c r="I96" s="238"/>
    </row>
    <row r="97" spans="1:9" ht="12.75" hidden="1">
      <c r="A97" s="238"/>
      <c r="B97" s="239"/>
      <c r="C97" s="238"/>
      <c r="D97" s="238"/>
      <c r="E97" s="238"/>
      <c r="F97" s="238"/>
      <c r="G97" s="238"/>
      <c r="H97" s="238"/>
      <c r="I97" s="238"/>
    </row>
    <row r="98" ht="12.75" hidden="1"/>
    <row r="99" ht="12.75" hidden="1"/>
    <row r="100" ht="12.75" hidden="1">
      <c r="B100" s="240"/>
    </row>
    <row r="101" ht="12.75" hidden="1">
      <c r="B101" s="110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</sheetData>
  <sheetProtection/>
  <mergeCells count="9">
    <mergeCell ref="A5:A6"/>
    <mergeCell ref="B5:B6"/>
    <mergeCell ref="C5:C6"/>
    <mergeCell ref="D5:F5"/>
    <mergeCell ref="F93:I93"/>
    <mergeCell ref="B1:C1"/>
    <mergeCell ref="B2:C2"/>
    <mergeCell ref="B3:C3"/>
    <mergeCell ref="G5:I5"/>
  </mergeCells>
  <printOptions horizontalCentered="1" verticalCentered="1"/>
  <pageMargins left="0.9448818897637796" right="0.15748031496062992" top="0.5905511811023623" bottom="0.1968503937007874" header="0.35433070866141736" footer="0.1968503937007874"/>
  <pageSetup blackAndWhite="1" horizontalDpi="600" verticalDpi="600" orientation="portrait" paperSize="9" scale="58" r:id="rId1"/>
  <headerFooter alignWithMargins="0">
    <oddHeader>&amp;RПриложение №2</oddHeader>
  </headerFooter>
  <ignoredErrors>
    <ignoredError sqref="F22:F32 F63 F12 F19:F20 I24 I27 I8:I13" formula="1"/>
    <ignoredError sqref="A58:A63 A85" numberStoredAsText="1"/>
    <ignoredError sqref="D8:E8 D10:E10" evalError="1"/>
    <ignoredError sqref="F8:F11 F17:F18 F61 F13:F15 F62" evalError="1" formula="1"/>
    <ignoredError sqref="F62" evalError="1" formula="1" formulaRange="1"/>
    <ignoredError sqref="E27" formulaRange="1"/>
    <ignoredError sqref="A64:A6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4"/>
  <sheetViews>
    <sheetView showGridLines="0" showZeros="0" zoomScalePageLayoutView="0" workbookViewId="0" topLeftCell="A64">
      <selection activeCell="G5" sqref="G5"/>
    </sheetView>
  </sheetViews>
  <sheetFormatPr defaultColWidth="0" defaultRowHeight="12.75" customHeight="1" zeroHeight="1"/>
  <cols>
    <col min="1" max="1" width="3.57421875" style="19" bestFit="1" customWidth="1"/>
    <col min="2" max="2" width="40.57421875" style="34" customWidth="1"/>
    <col min="3" max="3" width="7.57421875" style="1" bestFit="1" customWidth="1"/>
    <col min="4" max="6" width="7.57421875" style="19" customWidth="1"/>
    <col min="7" max="9" width="7.57421875" style="2" customWidth="1"/>
    <col min="10" max="10" width="9.140625" style="2" customWidth="1"/>
    <col min="11" max="36" width="0" style="2" hidden="1" customWidth="1"/>
    <col min="37" max="16384" width="0" style="3" hidden="1" customWidth="1"/>
  </cols>
  <sheetData>
    <row r="1" spans="1:9" s="3" customFormat="1" ht="12.75">
      <c r="A1" s="23"/>
      <c r="B1" s="693" t="s">
        <v>176</v>
      </c>
      <c r="C1" s="693"/>
      <c r="D1" s="23"/>
      <c r="E1" s="23"/>
      <c r="F1" s="23"/>
      <c r="G1" s="23"/>
      <c r="H1" s="23"/>
      <c r="I1" s="61" t="s">
        <v>684</v>
      </c>
    </row>
    <row r="2" spans="1:9" s="3" customFormat="1" ht="12.75">
      <c r="A2" s="23"/>
      <c r="B2" s="707" t="str">
        <f>'ТИП-ПРОИЗ'!B3</f>
        <v>"Топлофикация- ....................." ЕАД</v>
      </c>
      <c r="C2" s="707"/>
      <c r="D2" s="23"/>
      <c r="E2" s="23"/>
      <c r="F2" s="23"/>
      <c r="G2" s="23"/>
      <c r="H2" s="23"/>
      <c r="I2" s="23"/>
    </row>
    <row r="3" spans="1:9" s="3" customFormat="1" ht="13.5" thickBot="1">
      <c r="A3" s="24"/>
      <c r="B3" s="14"/>
      <c r="C3" s="14"/>
      <c r="D3" s="14"/>
      <c r="E3" s="14"/>
      <c r="F3" s="14"/>
      <c r="G3" s="14"/>
      <c r="H3" s="14"/>
      <c r="I3" s="14"/>
    </row>
    <row r="4" spans="1:9" s="3" customFormat="1" ht="34.5" customHeight="1" thickTop="1">
      <c r="A4" s="705" t="s">
        <v>0</v>
      </c>
      <c r="B4" s="708" t="s">
        <v>132</v>
      </c>
      <c r="C4" s="710" t="s">
        <v>2</v>
      </c>
      <c r="D4" s="712" t="s">
        <v>759</v>
      </c>
      <c r="E4" s="712"/>
      <c r="F4" s="712"/>
      <c r="G4" s="713" t="s">
        <v>761</v>
      </c>
      <c r="H4" s="713"/>
      <c r="I4" s="714"/>
    </row>
    <row r="5" spans="1:9" s="3" customFormat="1" ht="35.25" customHeight="1">
      <c r="A5" s="706"/>
      <c r="B5" s="709"/>
      <c r="C5" s="711"/>
      <c r="D5" s="25" t="s">
        <v>150</v>
      </c>
      <c r="E5" s="715" t="s">
        <v>148</v>
      </c>
      <c r="F5" s="715"/>
      <c r="G5" s="25" t="s">
        <v>150</v>
      </c>
      <c r="H5" s="715" t="s">
        <v>148</v>
      </c>
      <c r="I5" s="716"/>
    </row>
    <row r="6" spans="1:9" s="3" customFormat="1" ht="21">
      <c r="A6" s="26" t="s">
        <v>133</v>
      </c>
      <c r="B6" s="38" t="s">
        <v>149</v>
      </c>
      <c r="C6" s="12" t="s">
        <v>3</v>
      </c>
      <c r="D6" s="27">
        <f>SUM(D7,D14)</f>
        <v>0</v>
      </c>
      <c r="E6" s="699">
        <f>SUM(E7,E14)</f>
        <v>0</v>
      </c>
      <c r="F6" s="699"/>
      <c r="G6" s="27">
        <f>SUM(G7,G14)</f>
        <v>0</v>
      </c>
      <c r="H6" s="699">
        <f>SUM(H7,H14)</f>
        <v>0</v>
      </c>
      <c r="I6" s="700"/>
    </row>
    <row r="7" spans="1:9" s="3" customFormat="1" ht="12.75">
      <c r="A7" s="26" t="s">
        <v>134</v>
      </c>
      <c r="B7" s="7" t="s">
        <v>141</v>
      </c>
      <c r="C7" s="12" t="s">
        <v>3</v>
      </c>
      <c r="D7" s="28">
        <f>SUM(D8:D13)</f>
        <v>0</v>
      </c>
      <c r="E7" s="697">
        <f>SUM(E8:F13)</f>
        <v>0</v>
      </c>
      <c r="F7" s="697"/>
      <c r="G7" s="28">
        <f>SUM(G8:G13)</f>
        <v>0</v>
      </c>
      <c r="H7" s="697">
        <f>SUM(H8:I13)</f>
        <v>0</v>
      </c>
      <c r="I7" s="698"/>
    </row>
    <row r="8" spans="1:9" s="3" customFormat="1" ht="12.75">
      <c r="A8" s="26"/>
      <c r="B8" s="8" t="s">
        <v>135</v>
      </c>
      <c r="C8" s="12" t="s">
        <v>3</v>
      </c>
      <c r="D8" s="104"/>
      <c r="E8" s="694"/>
      <c r="F8" s="695"/>
      <c r="G8" s="29"/>
      <c r="H8" s="694"/>
      <c r="I8" s="696"/>
    </row>
    <row r="9" spans="1:9" s="3" customFormat="1" ht="12.75">
      <c r="A9" s="26"/>
      <c r="B9" s="8" t="s">
        <v>136</v>
      </c>
      <c r="C9" s="12" t="s">
        <v>3</v>
      </c>
      <c r="D9" s="104"/>
      <c r="E9" s="694"/>
      <c r="F9" s="695"/>
      <c r="G9" s="29"/>
      <c r="H9" s="694"/>
      <c r="I9" s="696"/>
    </row>
    <row r="10" spans="1:9" s="3" customFormat="1" ht="12.75">
      <c r="A10" s="26"/>
      <c r="B10" s="8" t="s">
        <v>137</v>
      </c>
      <c r="C10" s="12" t="s">
        <v>3</v>
      </c>
      <c r="D10" s="104"/>
      <c r="E10" s="694"/>
      <c r="F10" s="695"/>
      <c r="G10" s="29"/>
      <c r="H10" s="694"/>
      <c r="I10" s="696"/>
    </row>
    <row r="11" spans="1:9" s="3" customFormat="1" ht="12.75">
      <c r="A11" s="26"/>
      <c r="B11" s="8" t="s">
        <v>138</v>
      </c>
      <c r="C11" s="12" t="s">
        <v>3</v>
      </c>
      <c r="D11" s="104"/>
      <c r="E11" s="694"/>
      <c r="F11" s="695"/>
      <c r="G11" s="29"/>
      <c r="H11" s="694"/>
      <c r="I11" s="696"/>
    </row>
    <row r="12" spans="1:9" s="3" customFormat="1" ht="12.75">
      <c r="A12" s="26"/>
      <c r="B12" s="8" t="s">
        <v>139</v>
      </c>
      <c r="C12" s="12" t="s">
        <v>3</v>
      </c>
      <c r="D12" s="104"/>
      <c r="E12" s="694"/>
      <c r="F12" s="695"/>
      <c r="G12" s="29"/>
      <c r="H12" s="694"/>
      <c r="I12" s="696"/>
    </row>
    <row r="13" spans="1:9" s="3" customFormat="1" ht="12.75">
      <c r="A13" s="26"/>
      <c r="B13" s="8" t="s">
        <v>140</v>
      </c>
      <c r="C13" s="12" t="s">
        <v>3</v>
      </c>
      <c r="D13" s="104"/>
      <c r="E13" s="694"/>
      <c r="F13" s="695"/>
      <c r="G13" s="29"/>
      <c r="H13" s="694"/>
      <c r="I13" s="696"/>
    </row>
    <row r="14" spans="1:9" s="3" customFormat="1" ht="12.75">
      <c r="A14" s="26" t="s">
        <v>142</v>
      </c>
      <c r="B14" s="7" t="s">
        <v>174</v>
      </c>
      <c r="C14" s="12" t="s">
        <v>3</v>
      </c>
      <c r="D14" s="104"/>
      <c r="E14" s="694"/>
      <c r="F14" s="695"/>
      <c r="G14" s="29"/>
      <c r="H14" s="694"/>
      <c r="I14" s="696"/>
    </row>
    <row r="15" spans="1:9" s="3" customFormat="1" ht="12.75">
      <c r="A15" s="26" t="s">
        <v>143</v>
      </c>
      <c r="B15" s="13" t="s">
        <v>153</v>
      </c>
      <c r="C15" s="12" t="s">
        <v>3</v>
      </c>
      <c r="D15" s="104"/>
      <c r="E15" s="694"/>
      <c r="F15" s="695"/>
      <c r="G15" s="29"/>
      <c r="H15" s="694"/>
      <c r="I15" s="696"/>
    </row>
    <row r="16" spans="1:9" s="3" customFormat="1" ht="12.75">
      <c r="A16" s="26" t="s">
        <v>177</v>
      </c>
      <c r="B16" s="30" t="s">
        <v>147</v>
      </c>
      <c r="C16" s="12" t="s">
        <v>3</v>
      </c>
      <c r="D16" s="701"/>
      <c r="E16" s="702"/>
      <c r="F16" s="703"/>
      <c r="G16" s="701"/>
      <c r="H16" s="702"/>
      <c r="I16" s="703"/>
    </row>
    <row r="17" spans="1:36" ht="13.5" thickBot="1">
      <c r="A17" s="31" t="s">
        <v>178</v>
      </c>
      <c r="B17" s="39" t="s">
        <v>146</v>
      </c>
      <c r="C17" s="42" t="s">
        <v>3</v>
      </c>
      <c r="D17" s="691">
        <f>SUM(D6,D16)-SUM(D15,E6)</f>
        <v>0</v>
      </c>
      <c r="E17" s="691"/>
      <c r="F17" s="691"/>
      <c r="G17" s="691">
        <f>SUM(G6,G16)-SUM(G15,H6)</f>
        <v>0</v>
      </c>
      <c r="H17" s="691"/>
      <c r="I17" s="69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3.5" thickTop="1">
      <c r="A18" s="24"/>
      <c r="B18" s="72"/>
      <c r="C18" s="62"/>
      <c r="D18" s="73"/>
      <c r="E18" s="73"/>
      <c r="F18" s="73"/>
      <c r="G18" s="73"/>
      <c r="H18" s="73"/>
      <c r="I18" s="7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"/>
      <c r="B19" s="32"/>
      <c r="C19" s="14"/>
      <c r="D19" s="14"/>
      <c r="E19" s="14"/>
      <c r="F19" s="14"/>
      <c r="G19" s="14"/>
      <c r="H19" s="14"/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704">
        <f>IF(G17=0,0,D35/G17)</f>
        <v>0</v>
      </c>
      <c r="B20" s="704"/>
      <c r="C20" s="704"/>
      <c r="D20" s="704"/>
      <c r="E20" s="704"/>
      <c r="F20" s="704"/>
      <c r="G20" s="704"/>
      <c r="H20" s="704"/>
      <c r="I20" s="70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3.5" thickBot="1">
      <c r="A21" s="24"/>
      <c r="B21" s="32"/>
      <c r="C21" s="14"/>
      <c r="D21" s="14"/>
      <c r="E21" s="33"/>
      <c r="F21" s="14"/>
      <c r="G21" s="14"/>
      <c r="H21" s="33"/>
      <c r="I21" s="1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3.5" thickTop="1">
      <c r="A22" s="705" t="s">
        <v>0</v>
      </c>
      <c r="B22" s="708" t="s">
        <v>132</v>
      </c>
      <c r="C22" s="710" t="s">
        <v>2</v>
      </c>
      <c r="D22" s="717" t="s">
        <v>286</v>
      </c>
      <c r="E22" s="717"/>
      <c r="F22" s="717"/>
      <c r="G22" s="718" t="s">
        <v>85</v>
      </c>
      <c r="H22" s="718"/>
      <c r="I22" s="71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706"/>
      <c r="B23" s="709"/>
      <c r="C23" s="711"/>
      <c r="D23" s="25" t="s">
        <v>150</v>
      </c>
      <c r="E23" s="715" t="s">
        <v>148</v>
      </c>
      <c r="F23" s="715"/>
      <c r="G23" s="25" t="s">
        <v>150</v>
      </c>
      <c r="H23" s="715" t="s">
        <v>148</v>
      </c>
      <c r="I23" s="7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1">
      <c r="A24" s="26" t="s">
        <v>133</v>
      </c>
      <c r="B24" s="38" t="s">
        <v>149</v>
      </c>
      <c r="C24" s="12" t="s">
        <v>3</v>
      </c>
      <c r="D24" s="27">
        <f>SUM(D25,D32)</f>
        <v>0</v>
      </c>
      <c r="E24" s="699">
        <f>SUM(E25,E32)</f>
        <v>0</v>
      </c>
      <c r="F24" s="699"/>
      <c r="G24" s="27">
        <f>SUM(G25,G32)</f>
        <v>0</v>
      </c>
      <c r="H24" s="699">
        <f>SUM(H25,H32)</f>
        <v>0</v>
      </c>
      <c r="I24" s="70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>
      <c r="A25" s="26" t="s">
        <v>134</v>
      </c>
      <c r="B25" s="7" t="s">
        <v>141</v>
      </c>
      <c r="C25" s="12" t="s">
        <v>3</v>
      </c>
      <c r="D25" s="28">
        <f>SUM(D26:D31)</f>
        <v>0</v>
      </c>
      <c r="E25" s="697">
        <f>SUM(E26:F31)</f>
        <v>0</v>
      </c>
      <c r="F25" s="697"/>
      <c r="G25" s="28">
        <f>SUM(G26:G31)</f>
        <v>0</v>
      </c>
      <c r="H25" s="697">
        <f>SUM(H26:I31)</f>
        <v>0</v>
      </c>
      <c r="I25" s="69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>
      <c r="A26" s="26"/>
      <c r="B26" s="8" t="s">
        <v>135</v>
      </c>
      <c r="C26" s="12" t="s">
        <v>3</v>
      </c>
      <c r="D26" s="52">
        <f aca="true" t="shared" si="0" ref="D26:E33">SUM(G8,-G26)</f>
        <v>0</v>
      </c>
      <c r="E26" s="687">
        <f t="shared" si="0"/>
        <v>0</v>
      </c>
      <c r="F26" s="687"/>
      <c r="G26" s="29"/>
      <c r="H26" s="685"/>
      <c r="I26" s="68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2.75">
      <c r="A27" s="26"/>
      <c r="B27" s="8" t="s">
        <v>136</v>
      </c>
      <c r="C27" s="12" t="s">
        <v>3</v>
      </c>
      <c r="D27" s="52">
        <f t="shared" si="0"/>
        <v>0</v>
      </c>
      <c r="E27" s="687">
        <f t="shared" si="0"/>
        <v>0</v>
      </c>
      <c r="F27" s="687"/>
      <c r="G27" s="29"/>
      <c r="H27" s="685"/>
      <c r="I27" s="68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2.75">
      <c r="A28" s="26"/>
      <c r="B28" s="8" t="s">
        <v>137</v>
      </c>
      <c r="C28" s="12" t="s">
        <v>3</v>
      </c>
      <c r="D28" s="52">
        <f t="shared" si="0"/>
        <v>0</v>
      </c>
      <c r="E28" s="687">
        <f t="shared" si="0"/>
        <v>0</v>
      </c>
      <c r="F28" s="687"/>
      <c r="G28" s="43"/>
      <c r="H28" s="685"/>
      <c r="I28" s="68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26"/>
      <c r="B29" s="8" t="s">
        <v>138</v>
      </c>
      <c r="C29" s="12" t="s">
        <v>3</v>
      </c>
      <c r="D29" s="52">
        <f t="shared" si="0"/>
        <v>0</v>
      </c>
      <c r="E29" s="687">
        <f t="shared" si="0"/>
        <v>0</v>
      </c>
      <c r="F29" s="687"/>
      <c r="G29" s="29"/>
      <c r="H29" s="685"/>
      <c r="I29" s="68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>
      <c r="A30" s="26"/>
      <c r="B30" s="8" t="s">
        <v>139</v>
      </c>
      <c r="C30" s="12" t="s">
        <v>3</v>
      </c>
      <c r="D30" s="52">
        <f t="shared" si="0"/>
        <v>0</v>
      </c>
      <c r="E30" s="687">
        <f t="shared" si="0"/>
        <v>0</v>
      </c>
      <c r="F30" s="687"/>
      <c r="G30" s="29"/>
      <c r="H30" s="685"/>
      <c r="I30" s="68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.75">
      <c r="A31" s="26"/>
      <c r="B31" s="8" t="s">
        <v>140</v>
      </c>
      <c r="C31" s="12" t="s">
        <v>3</v>
      </c>
      <c r="D31" s="52">
        <f t="shared" si="0"/>
        <v>0</v>
      </c>
      <c r="E31" s="687">
        <f t="shared" si="0"/>
        <v>0</v>
      </c>
      <c r="F31" s="687"/>
      <c r="G31" s="29"/>
      <c r="H31" s="685"/>
      <c r="I31" s="68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26" t="s">
        <v>142</v>
      </c>
      <c r="B32" s="7" t="s">
        <v>174</v>
      </c>
      <c r="C32" s="12" t="s">
        <v>3</v>
      </c>
      <c r="D32" s="52">
        <f t="shared" si="0"/>
        <v>0</v>
      </c>
      <c r="E32" s="687">
        <f t="shared" si="0"/>
        <v>0</v>
      </c>
      <c r="F32" s="687"/>
      <c r="G32" s="43"/>
      <c r="H32" s="685"/>
      <c r="I32" s="68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>
      <c r="A33" s="26" t="s">
        <v>143</v>
      </c>
      <c r="B33" s="13" t="s">
        <v>153</v>
      </c>
      <c r="C33" s="12" t="s">
        <v>3</v>
      </c>
      <c r="D33" s="52">
        <f t="shared" si="0"/>
        <v>0</v>
      </c>
      <c r="E33" s="687">
        <f t="shared" si="0"/>
        <v>0</v>
      </c>
      <c r="F33" s="687"/>
      <c r="G33" s="29"/>
      <c r="H33" s="685"/>
      <c r="I33" s="68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>
      <c r="A34" s="26" t="s">
        <v>177</v>
      </c>
      <c r="B34" s="30" t="s">
        <v>147</v>
      </c>
      <c r="C34" s="12" t="s">
        <v>3</v>
      </c>
      <c r="D34" s="688">
        <f>SUM(G16,-G34)</f>
        <v>0</v>
      </c>
      <c r="E34" s="688"/>
      <c r="F34" s="688"/>
      <c r="G34" s="689"/>
      <c r="H34" s="689"/>
      <c r="I34" s="69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 thickBot="1">
      <c r="A35" s="31" t="s">
        <v>178</v>
      </c>
      <c r="B35" s="39" t="s">
        <v>146</v>
      </c>
      <c r="C35" s="42" t="s">
        <v>3</v>
      </c>
      <c r="D35" s="691">
        <f>SUM(D24,D34)-SUM(D33,E24)</f>
        <v>0</v>
      </c>
      <c r="E35" s="691"/>
      <c r="F35" s="691"/>
      <c r="G35" s="691">
        <f>SUM(G24,G34)-SUM(G33,H24)</f>
        <v>0</v>
      </c>
      <c r="H35" s="691"/>
      <c r="I35" s="69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3.5" thickTop="1">
      <c r="A36" s="24"/>
      <c r="B36" s="72"/>
      <c r="C36" s="62"/>
      <c r="D36" s="73"/>
      <c r="E36" s="73"/>
      <c r="F36" s="73"/>
      <c r="G36" s="73"/>
      <c r="H36" s="73"/>
      <c r="I36" s="7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75">
      <c r="A37" s="24"/>
      <c r="B37" s="32"/>
      <c r="C37" s="14"/>
      <c r="D37" s="14"/>
      <c r="E37" s="14"/>
      <c r="F37" s="14"/>
      <c r="G37" s="14"/>
      <c r="H37" s="32"/>
      <c r="I37" s="1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75">
      <c r="A38" s="720">
        <f>IF(D35=0,0,D53/D35)</f>
        <v>0</v>
      </c>
      <c r="B38" s="720"/>
      <c r="C38" s="720"/>
      <c r="D38" s="720"/>
      <c r="E38" s="720"/>
      <c r="F38" s="720"/>
      <c r="G38" s="720"/>
      <c r="H38" s="720"/>
      <c r="I38" s="72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3.5" thickBot="1">
      <c r="A39" s="24"/>
      <c r="B39" s="32"/>
      <c r="C39" s="14"/>
      <c r="D39" s="14"/>
      <c r="E39" s="33"/>
      <c r="F39" s="14"/>
      <c r="G39" s="14"/>
      <c r="H39" s="33"/>
      <c r="I39" s="1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3.5" thickTop="1">
      <c r="A40" s="705" t="s">
        <v>0</v>
      </c>
      <c r="B40" s="708" t="s">
        <v>132</v>
      </c>
      <c r="C40" s="710" t="s">
        <v>2</v>
      </c>
      <c r="D40" s="717" t="s">
        <v>388</v>
      </c>
      <c r="E40" s="717"/>
      <c r="F40" s="717"/>
      <c r="G40" s="718" t="s">
        <v>389</v>
      </c>
      <c r="H40" s="718"/>
      <c r="I40" s="7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706"/>
      <c r="B41" s="709"/>
      <c r="C41" s="711"/>
      <c r="D41" s="25" t="s">
        <v>150</v>
      </c>
      <c r="E41" s="715" t="s">
        <v>148</v>
      </c>
      <c r="F41" s="715"/>
      <c r="G41" s="25" t="s">
        <v>150</v>
      </c>
      <c r="H41" s="715" t="s">
        <v>148</v>
      </c>
      <c r="I41" s="7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21">
      <c r="A42" s="26" t="s">
        <v>133</v>
      </c>
      <c r="B42" s="38" t="s">
        <v>149</v>
      </c>
      <c r="C42" s="12" t="s">
        <v>3</v>
      </c>
      <c r="D42" s="27">
        <f>SUM(D43,D50)</f>
        <v>0</v>
      </c>
      <c r="E42" s="699">
        <f>SUM(E43,E50)</f>
        <v>0</v>
      </c>
      <c r="F42" s="699"/>
      <c r="G42" s="27">
        <f>SUM(G43,G50)</f>
        <v>0</v>
      </c>
      <c r="H42" s="699">
        <f>SUM(H43,H50)</f>
        <v>0</v>
      </c>
      <c r="I42" s="70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.75">
      <c r="A43" s="26" t="s">
        <v>134</v>
      </c>
      <c r="B43" s="7" t="s">
        <v>141</v>
      </c>
      <c r="C43" s="12" t="s">
        <v>3</v>
      </c>
      <c r="D43" s="28">
        <f>SUM(D44:D49)</f>
        <v>0</v>
      </c>
      <c r="E43" s="697">
        <f>SUM(E44:F49)</f>
        <v>0</v>
      </c>
      <c r="F43" s="697"/>
      <c r="G43" s="28">
        <f>SUM(G44:G49)</f>
        <v>0</v>
      </c>
      <c r="H43" s="697">
        <f>SUM(H44:I49)</f>
        <v>0</v>
      </c>
      <c r="I43" s="69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2.75">
      <c r="A44" s="26"/>
      <c r="B44" s="8" t="s">
        <v>135</v>
      </c>
      <c r="C44" s="12" t="s">
        <v>3</v>
      </c>
      <c r="D44" s="52">
        <f aca="true" t="shared" si="1" ref="D44:E51">SUM(D26,-G44)</f>
        <v>0</v>
      </c>
      <c r="E44" s="687">
        <f t="shared" si="1"/>
        <v>0</v>
      </c>
      <c r="F44" s="687"/>
      <c r="G44" s="29"/>
      <c r="H44" s="685"/>
      <c r="I44" s="68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75">
      <c r="A45" s="26"/>
      <c r="B45" s="8" t="s">
        <v>136</v>
      </c>
      <c r="C45" s="12" t="s">
        <v>3</v>
      </c>
      <c r="D45" s="52">
        <f t="shared" si="1"/>
        <v>0</v>
      </c>
      <c r="E45" s="687">
        <f t="shared" si="1"/>
        <v>0</v>
      </c>
      <c r="F45" s="687"/>
      <c r="G45" s="29"/>
      <c r="H45" s="685"/>
      <c r="I45" s="68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75">
      <c r="A46" s="26"/>
      <c r="B46" s="8" t="s">
        <v>137</v>
      </c>
      <c r="C46" s="12" t="s">
        <v>3</v>
      </c>
      <c r="D46" s="52">
        <f t="shared" si="1"/>
        <v>0</v>
      </c>
      <c r="E46" s="687">
        <f t="shared" si="1"/>
        <v>0</v>
      </c>
      <c r="F46" s="687"/>
      <c r="G46" s="43"/>
      <c r="H46" s="685"/>
      <c r="I46" s="68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75">
      <c r="A47" s="26"/>
      <c r="B47" s="8" t="s">
        <v>138</v>
      </c>
      <c r="C47" s="12" t="s">
        <v>3</v>
      </c>
      <c r="D47" s="52">
        <f t="shared" si="1"/>
        <v>0</v>
      </c>
      <c r="E47" s="687">
        <f t="shared" si="1"/>
        <v>0</v>
      </c>
      <c r="F47" s="687"/>
      <c r="G47" s="29"/>
      <c r="H47" s="685"/>
      <c r="I47" s="68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75">
      <c r="A48" s="26"/>
      <c r="B48" s="8" t="s">
        <v>139</v>
      </c>
      <c r="C48" s="12" t="s">
        <v>3</v>
      </c>
      <c r="D48" s="52">
        <f t="shared" si="1"/>
        <v>0</v>
      </c>
      <c r="E48" s="687">
        <f t="shared" si="1"/>
        <v>0</v>
      </c>
      <c r="F48" s="687"/>
      <c r="G48" s="29"/>
      <c r="H48" s="685"/>
      <c r="I48" s="68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75">
      <c r="A49" s="26"/>
      <c r="B49" s="8" t="s">
        <v>140</v>
      </c>
      <c r="C49" s="12" t="s">
        <v>3</v>
      </c>
      <c r="D49" s="52">
        <f t="shared" si="1"/>
        <v>0</v>
      </c>
      <c r="E49" s="687">
        <f t="shared" si="1"/>
        <v>0</v>
      </c>
      <c r="F49" s="687"/>
      <c r="G49" s="29"/>
      <c r="H49" s="685"/>
      <c r="I49" s="68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75">
      <c r="A50" s="26" t="s">
        <v>142</v>
      </c>
      <c r="B50" s="7" t="s">
        <v>174</v>
      </c>
      <c r="C50" s="12" t="s">
        <v>3</v>
      </c>
      <c r="D50" s="52">
        <f t="shared" si="1"/>
        <v>0</v>
      </c>
      <c r="E50" s="687">
        <f t="shared" si="1"/>
        <v>0</v>
      </c>
      <c r="F50" s="687"/>
      <c r="G50" s="43"/>
      <c r="H50" s="685"/>
      <c r="I50" s="68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75">
      <c r="A51" s="26" t="s">
        <v>143</v>
      </c>
      <c r="B51" s="13" t="s">
        <v>153</v>
      </c>
      <c r="C51" s="12" t="s">
        <v>3</v>
      </c>
      <c r="D51" s="52">
        <f t="shared" si="1"/>
        <v>0</v>
      </c>
      <c r="E51" s="687">
        <f t="shared" si="1"/>
        <v>0</v>
      </c>
      <c r="F51" s="687"/>
      <c r="G51" s="29"/>
      <c r="H51" s="685"/>
      <c r="I51" s="68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75">
      <c r="A52" s="26" t="s">
        <v>177</v>
      </c>
      <c r="B52" s="30" t="s">
        <v>147</v>
      </c>
      <c r="C52" s="12" t="s">
        <v>3</v>
      </c>
      <c r="D52" s="688">
        <f>SUM(D34,-G52)</f>
        <v>0</v>
      </c>
      <c r="E52" s="688"/>
      <c r="F52" s="688"/>
      <c r="G52" s="689"/>
      <c r="H52" s="689"/>
      <c r="I52" s="69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3.5" thickBot="1">
      <c r="A53" s="31" t="s">
        <v>178</v>
      </c>
      <c r="B53" s="39" t="s">
        <v>146</v>
      </c>
      <c r="C53" s="42" t="s">
        <v>3</v>
      </c>
      <c r="D53" s="691">
        <f>SUM(D42,D52)-SUM(D51,E42)</f>
        <v>0</v>
      </c>
      <c r="E53" s="691"/>
      <c r="F53" s="691"/>
      <c r="G53" s="691">
        <f>SUM(G42,G52)-SUM(G51,H42)</f>
        <v>0</v>
      </c>
      <c r="H53" s="691"/>
      <c r="I53" s="69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3.5" thickTop="1">
      <c r="A54" s="24"/>
      <c r="B54" s="72"/>
      <c r="C54" s="62"/>
      <c r="D54" s="73"/>
      <c r="E54" s="73"/>
      <c r="F54" s="73"/>
      <c r="G54" s="73"/>
      <c r="H54" s="73"/>
      <c r="I54" s="7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75">
      <c r="A55" s="24"/>
      <c r="B55" s="72"/>
      <c r="C55" s="62"/>
      <c r="D55" s="73"/>
      <c r="E55" s="73"/>
      <c r="F55" s="73"/>
      <c r="G55" s="73"/>
      <c r="H55" s="73"/>
      <c r="I55" s="7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75">
      <c r="A56" s="24"/>
      <c r="B56" s="72"/>
      <c r="C56" s="62"/>
      <c r="D56" s="73"/>
      <c r="E56" s="73"/>
      <c r="F56" s="73"/>
      <c r="G56" s="73"/>
      <c r="H56" s="73"/>
      <c r="I56" s="7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75">
      <c r="A57" s="24"/>
      <c r="B57" s="72"/>
      <c r="C57" s="62"/>
      <c r="D57" s="73"/>
      <c r="E57" s="73"/>
      <c r="F57" s="73"/>
      <c r="G57" s="73"/>
      <c r="H57" s="73"/>
      <c r="I57" s="7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75">
      <c r="A58" s="24"/>
      <c r="B58" s="32"/>
      <c r="C58" s="14"/>
      <c r="D58" s="14"/>
      <c r="E58" s="14"/>
      <c r="F58" s="14"/>
      <c r="G58" s="14"/>
      <c r="H58" s="32"/>
      <c r="I58" s="1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75">
      <c r="A59" s="727">
        <f>IF(G17=0,0,I69/G17)</f>
        <v>0</v>
      </c>
      <c r="B59" s="727"/>
      <c r="C59" s="727"/>
      <c r="D59" s="727"/>
      <c r="E59" s="727"/>
      <c r="F59" s="727"/>
      <c r="G59" s="727"/>
      <c r="H59" s="727"/>
      <c r="I59" s="72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1:36" ht="13.5" thickBot="1"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3.5" thickTop="1">
      <c r="A61" s="705" t="s">
        <v>0</v>
      </c>
      <c r="B61" s="708" t="s">
        <v>132</v>
      </c>
      <c r="C61" s="710" t="s">
        <v>2</v>
      </c>
      <c r="D61" s="728" t="str">
        <f>$D$4</f>
        <v>ОТЧЕТ към 31.12.2016 г.</v>
      </c>
      <c r="E61" s="728"/>
      <c r="F61" s="728"/>
      <c r="G61" s="729" t="str">
        <f>$G$4</f>
        <v>ОТЧЕТ към 31.12.2017 г.</v>
      </c>
      <c r="H61" s="729"/>
      <c r="I61" s="73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75">
      <c r="A62" s="706"/>
      <c r="B62" s="709"/>
      <c r="C62" s="711"/>
      <c r="D62" s="4" t="s">
        <v>251</v>
      </c>
      <c r="E62" s="4" t="s">
        <v>85</v>
      </c>
      <c r="F62" s="5" t="s">
        <v>152</v>
      </c>
      <c r="G62" s="4" t="s">
        <v>251</v>
      </c>
      <c r="H62" s="4" t="s">
        <v>85</v>
      </c>
      <c r="I62" s="6" t="s">
        <v>152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20">
        <v>1</v>
      </c>
      <c r="B63" s="21">
        <v>2</v>
      </c>
      <c r="C63" s="21">
        <v>3</v>
      </c>
      <c r="D63" s="21">
        <v>4</v>
      </c>
      <c r="E63" s="35">
        <v>5</v>
      </c>
      <c r="F63" s="21" t="s">
        <v>80</v>
      </c>
      <c r="G63" s="21">
        <v>7</v>
      </c>
      <c r="H63" s="35">
        <v>8</v>
      </c>
      <c r="I63" s="22" t="s">
        <v>79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722" t="s">
        <v>154</v>
      </c>
      <c r="B64" s="13" t="s">
        <v>5</v>
      </c>
      <c r="C64" s="12" t="s">
        <v>3</v>
      </c>
      <c r="D64" s="53">
        <f>SUM(D7,-D70,-E70)</f>
        <v>0</v>
      </c>
      <c r="E64" s="53"/>
      <c r="F64" s="53">
        <f aca="true" t="shared" si="2" ref="F64:F69">D64</f>
        <v>0</v>
      </c>
      <c r="G64" s="53">
        <f>SUM(D25,-G70)</f>
        <v>0</v>
      </c>
      <c r="H64" s="53"/>
      <c r="I64" s="84">
        <f aca="true" t="shared" si="3" ref="I64:I69">G64</f>
        <v>0</v>
      </c>
      <c r="J64" s="3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" customHeight="1">
      <c r="A65" s="723"/>
      <c r="B65" s="13" t="s">
        <v>175</v>
      </c>
      <c r="C65" s="12" t="s">
        <v>3</v>
      </c>
      <c r="D65" s="53">
        <f>SUM(D14,-D71,-E71)</f>
        <v>0</v>
      </c>
      <c r="E65" s="53"/>
      <c r="F65" s="53">
        <f t="shared" si="2"/>
        <v>0</v>
      </c>
      <c r="G65" s="53">
        <f>SUM(D32,-G71)</f>
        <v>0</v>
      </c>
      <c r="H65" s="53"/>
      <c r="I65" s="84">
        <f t="shared" si="3"/>
        <v>0</v>
      </c>
      <c r="J65" s="3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" customHeight="1">
      <c r="A66" s="723"/>
      <c r="B66" s="13" t="s">
        <v>153</v>
      </c>
      <c r="C66" s="12" t="s">
        <v>3</v>
      </c>
      <c r="D66" s="53">
        <f>SUM(D15,-D72,-E72)</f>
        <v>0</v>
      </c>
      <c r="E66" s="53"/>
      <c r="F66" s="53">
        <f t="shared" si="2"/>
        <v>0</v>
      </c>
      <c r="G66" s="53">
        <f>SUM(D33,-G72)</f>
        <v>0</v>
      </c>
      <c r="H66" s="53"/>
      <c r="I66" s="84">
        <f t="shared" si="3"/>
        <v>0</v>
      </c>
      <c r="J66" s="3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" customHeight="1">
      <c r="A67" s="723"/>
      <c r="B67" s="13" t="s">
        <v>148</v>
      </c>
      <c r="C67" s="12" t="s">
        <v>94</v>
      </c>
      <c r="D67" s="53">
        <f>SUM(E6,-D73,-E73)</f>
        <v>0</v>
      </c>
      <c r="E67" s="53"/>
      <c r="F67" s="53">
        <f t="shared" si="2"/>
        <v>0</v>
      </c>
      <c r="G67" s="53">
        <f>SUM(E24,-G73)</f>
        <v>0</v>
      </c>
      <c r="H67" s="53"/>
      <c r="I67" s="84">
        <f t="shared" si="3"/>
        <v>0</v>
      </c>
      <c r="J67" s="3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 customHeight="1">
      <c r="A68" s="723"/>
      <c r="B68" s="13" t="s">
        <v>6</v>
      </c>
      <c r="C68" s="12" t="s">
        <v>3</v>
      </c>
      <c r="D68" s="53">
        <f>SUM(D16,-D74,-E74)</f>
        <v>0</v>
      </c>
      <c r="E68" s="53"/>
      <c r="F68" s="53">
        <f t="shared" si="2"/>
        <v>0</v>
      </c>
      <c r="G68" s="53">
        <f>SUM(D34,-G74)</f>
        <v>0</v>
      </c>
      <c r="H68" s="53"/>
      <c r="I68" s="84">
        <f t="shared" si="3"/>
        <v>0</v>
      </c>
      <c r="J68" s="3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30" customHeight="1">
      <c r="A69" s="724"/>
      <c r="B69" s="40" t="s">
        <v>249</v>
      </c>
      <c r="C69" s="10" t="s">
        <v>3</v>
      </c>
      <c r="D69" s="97">
        <f>ROUND(SUM(D64:D65,D68)-D66-D67,3)</f>
        <v>0</v>
      </c>
      <c r="E69" s="97"/>
      <c r="F69" s="97">
        <f t="shared" si="2"/>
        <v>0</v>
      </c>
      <c r="G69" s="98">
        <f>ROUND(SUM(G64:G65,G68)-G66-G67,3)</f>
        <v>0</v>
      </c>
      <c r="H69" s="98"/>
      <c r="I69" s="99">
        <f t="shared" si="3"/>
        <v>0</v>
      </c>
      <c r="J69" s="3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" customHeight="1">
      <c r="A70" s="725" t="s">
        <v>155</v>
      </c>
      <c r="B70" s="13" t="s">
        <v>5</v>
      </c>
      <c r="C70" s="12" t="s">
        <v>3</v>
      </c>
      <c r="D70" s="54"/>
      <c r="E70" s="54"/>
      <c r="F70" s="53">
        <f aca="true" t="shared" si="4" ref="F70:F76">SUM(D70:E70)</f>
        <v>0</v>
      </c>
      <c r="G70" s="54"/>
      <c r="H70" s="105">
        <f>G25</f>
        <v>0</v>
      </c>
      <c r="I70" s="84">
        <f aca="true" t="shared" si="5" ref="I70:I76">SUM(G70:H70)</f>
        <v>0</v>
      </c>
      <c r="J70" s="3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10" ht="15" customHeight="1">
      <c r="A71" s="725"/>
      <c r="B71" s="13" t="s">
        <v>175</v>
      </c>
      <c r="C71" s="12" t="s">
        <v>3</v>
      </c>
      <c r="D71" s="54"/>
      <c r="E71" s="54"/>
      <c r="F71" s="53">
        <f t="shared" si="4"/>
        <v>0</v>
      </c>
      <c r="G71" s="54"/>
      <c r="H71" s="105">
        <f>G32</f>
        <v>0</v>
      </c>
      <c r="I71" s="84">
        <f t="shared" si="5"/>
        <v>0</v>
      </c>
      <c r="J71" s="36"/>
    </row>
    <row r="72" spans="1:10" ht="15" customHeight="1">
      <c r="A72" s="725"/>
      <c r="B72" s="13" t="s">
        <v>153</v>
      </c>
      <c r="C72" s="12" t="s">
        <v>3</v>
      </c>
      <c r="D72" s="54"/>
      <c r="E72" s="54"/>
      <c r="F72" s="53">
        <f t="shared" si="4"/>
        <v>0</v>
      </c>
      <c r="G72" s="54"/>
      <c r="H72" s="105">
        <f>G33</f>
        <v>0</v>
      </c>
      <c r="I72" s="84">
        <f t="shared" si="5"/>
        <v>0</v>
      </c>
      <c r="J72" s="36"/>
    </row>
    <row r="73" spans="1:10" ht="15" customHeight="1">
      <c r="A73" s="725"/>
      <c r="B73" s="13" t="s">
        <v>148</v>
      </c>
      <c r="C73" s="12" t="s">
        <v>94</v>
      </c>
      <c r="D73" s="54"/>
      <c r="E73" s="54"/>
      <c r="F73" s="53">
        <f t="shared" si="4"/>
        <v>0</v>
      </c>
      <c r="G73" s="54"/>
      <c r="H73" s="105">
        <f>H24</f>
        <v>0</v>
      </c>
      <c r="I73" s="84">
        <f t="shared" si="5"/>
        <v>0</v>
      </c>
      <c r="J73" s="36"/>
    </row>
    <row r="74" spans="1:10" ht="15" customHeight="1">
      <c r="A74" s="725"/>
      <c r="B74" s="13" t="s">
        <v>6</v>
      </c>
      <c r="C74" s="12" t="s">
        <v>3</v>
      </c>
      <c r="D74" s="54"/>
      <c r="E74" s="54"/>
      <c r="F74" s="53">
        <f t="shared" si="4"/>
        <v>0</v>
      </c>
      <c r="G74" s="54"/>
      <c r="H74" s="105">
        <f>G34</f>
        <v>0</v>
      </c>
      <c r="I74" s="84">
        <f t="shared" si="5"/>
        <v>0</v>
      </c>
      <c r="J74" s="36"/>
    </row>
    <row r="75" spans="1:10" ht="30" customHeight="1" thickBot="1">
      <c r="A75" s="726"/>
      <c r="B75" s="41" t="s">
        <v>250</v>
      </c>
      <c r="C75" s="37" t="s">
        <v>3</v>
      </c>
      <c r="D75" s="95">
        <f>ROUND(SUM(D70:D71,D74)-D72-D73,3)</f>
        <v>0</v>
      </c>
      <c r="E75" s="95">
        <f>ROUND(SUM(E70:E71,E74)-E72-E73,3)</f>
        <v>0</v>
      </c>
      <c r="F75" s="95">
        <f t="shared" si="4"/>
        <v>0</v>
      </c>
      <c r="G75" s="95">
        <f>ROUND(SUM(G70:G71,G74)-G72-G73,3)</f>
        <v>0</v>
      </c>
      <c r="H75" s="95">
        <f>ROUND(SUM(H70:H71,H74)-H72-H73,3)</f>
        <v>0</v>
      </c>
      <c r="I75" s="96">
        <f t="shared" si="5"/>
        <v>0</v>
      </c>
      <c r="J75" s="36"/>
    </row>
    <row r="76" spans="1:10" ht="30" customHeight="1" thickBot="1" thickTop="1">
      <c r="A76" s="523" t="s">
        <v>704</v>
      </c>
      <c r="B76" s="100" t="s">
        <v>703</v>
      </c>
      <c r="C76" s="101" t="s">
        <v>3</v>
      </c>
      <c r="D76" s="102">
        <f>ROUND(SUM(D69,D75),3)</f>
        <v>0</v>
      </c>
      <c r="E76" s="102">
        <f>ROUND(SUM(E69,E75),3)</f>
        <v>0</v>
      </c>
      <c r="F76" s="102">
        <f t="shared" si="4"/>
        <v>0</v>
      </c>
      <c r="G76" s="102">
        <f>ROUND(SUM(G69,G75),3)</f>
        <v>0</v>
      </c>
      <c r="H76" s="102">
        <f>ROUND(SUM(H69,H75),3)</f>
        <v>0</v>
      </c>
      <c r="I76" s="103">
        <f t="shared" si="5"/>
        <v>0</v>
      </c>
      <c r="J76" s="36"/>
    </row>
    <row r="77" spans="10:36" ht="13.5" thickTop="1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0:36" ht="12.75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0:36" ht="12.75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 customHeight="1">
      <c r="A80" s="1" t="s">
        <v>255</v>
      </c>
      <c r="B80" s="16"/>
      <c r="C80" s="3"/>
      <c r="D80" s="11"/>
      <c r="E80" s="18"/>
      <c r="F80" s="17" t="s">
        <v>254</v>
      </c>
      <c r="G80" s="11"/>
      <c r="H80" s="11"/>
      <c r="I80" s="1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 customHeight="1">
      <c r="A81" s="1"/>
      <c r="B81" s="63" t="str">
        <f>'[1]ОБЩА'!B73</f>
        <v>/ Xxx                  /</v>
      </c>
      <c r="C81" s="11"/>
      <c r="D81" s="3"/>
      <c r="E81" s="3"/>
      <c r="F81" s="3"/>
      <c r="G81" s="721" t="str">
        <f>'[1]ОБЩА'!D73</f>
        <v>/ Xxxxxx                  /</v>
      </c>
      <c r="H81" s="721"/>
      <c r="I81" s="72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0:36" ht="12.75" customHeight="1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0:36" ht="12.75" customHeight="1" hidden="1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0:36" ht="12.75" customHeight="1" hidden="1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0:36" ht="12.75" customHeight="1" hidden="1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0:36" ht="12.75" customHeight="1" hidden="1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0:36" ht="12.75" customHeight="1" hidden="1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2.75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2.75" customHeight="1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2.75" customHeight="1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2.7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2.75" customHeight="1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2.75" customHeight="1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2.7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2.7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2.75" customHeight="1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2.75" customHeight="1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2.75" customHeight="1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2.75" customHeight="1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2.75" customHeight="1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2.75" customHeight="1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2.75" customHeight="1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2.75" customHeight="1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2.75" customHeight="1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2.75" customHeight="1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2.75" customHeight="1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2.75" customHeight="1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2.75" customHeight="1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2.75" customHeight="1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2.75" customHeight="1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2.75" customHeight="1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2.75" customHeight="1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2.75" customHeight="1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2.75" customHeight="1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2.75" customHeight="1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2.75" customHeight="1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2.75" customHeight="1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2.75" customHeight="1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2.75" customHeight="1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/>
  <mergeCells count="106">
    <mergeCell ref="G81:I81"/>
    <mergeCell ref="A64:A69"/>
    <mergeCell ref="A70:A75"/>
    <mergeCell ref="A59:I59"/>
    <mergeCell ref="A61:A62"/>
    <mergeCell ref="B61:B62"/>
    <mergeCell ref="C61:C62"/>
    <mergeCell ref="D61:F61"/>
    <mergeCell ref="G61:I61"/>
    <mergeCell ref="E51:F51"/>
    <mergeCell ref="H51:I51"/>
    <mergeCell ref="D52:F52"/>
    <mergeCell ref="G52:I52"/>
    <mergeCell ref="D53:F53"/>
    <mergeCell ref="G53:I53"/>
    <mergeCell ref="E48:F48"/>
    <mergeCell ref="H48:I48"/>
    <mergeCell ref="E49:F49"/>
    <mergeCell ref="H49:I49"/>
    <mergeCell ref="E50:F50"/>
    <mergeCell ref="H50:I50"/>
    <mergeCell ref="E45:F45"/>
    <mergeCell ref="H45:I45"/>
    <mergeCell ref="E46:F46"/>
    <mergeCell ref="H46:I46"/>
    <mergeCell ref="E47:F47"/>
    <mergeCell ref="H47:I47"/>
    <mergeCell ref="E42:F42"/>
    <mergeCell ref="H42:I42"/>
    <mergeCell ref="E43:F43"/>
    <mergeCell ref="H43:I43"/>
    <mergeCell ref="E44:F44"/>
    <mergeCell ref="H44:I44"/>
    <mergeCell ref="A38:I38"/>
    <mergeCell ref="A40:A41"/>
    <mergeCell ref="B40:B41"/>
    <mergeCell ref="C40:C41"/>
    <mergeCell ref="D40:F40"/>
    <mergeCell ref="G40:I40"/>
    <mergeCell ref="E41:F41"/>
    <mergeCell ref="H41:I41"/>
    <mergeCell ref="B22:B23"/>
    <mergeCell ref="C22:C23"/>
    <mergeCell ref="D22:F22"/>
    <mergeCell ref="G22:I22"/>
    <mergeCell ref="E23:F23"/>
    <mergeCell ref="H23:I23"/>
    <mergeCell ref="B2:C2"/>
    <mergeCell ref="A4:A5"/>
    <mergeCell ref="B4:B5"/>
    <mergeCell ref="C4:C5"/>
    <mergeCell ref="D4:F4"/>
    <mergeCell ref="G4:I4"/>
    <mergeCell ref="E5:F5"/>
    <mergeCell ref="H5:I5"/>
    <mergeCell ref="H8:I8"/>
    <mergeCell ref="E27:F27"/>
    <mergeCell ref="H12:I12"/>
    <mergeCell ref="H13:I13"/>
    <mergeCell ref="H14:I14"/>
    <mergeCell ref="H15:I15"/>
    <mergeCell ref="D17:F17"/>
    <mergeCell ref="G17:I17"/>
    <mergeCell ref="A20:I20"/>
    <mergeCell ref="A22:A23"/>
    <mergeCell ref="H7:I7"/>
    <mergeCell ref="E6:F6"/>
    <mergeCell ref="H6:I6"/>
    <mergeCell ref="E13:F13"/>
    <mergeCell ref="H29:I29"/>
    <mergeCell ref="D16:F16"/>
    <mergeCell ref="G16:I16"/>
    <mergeCell ref="H10:I10"/>
    <mergeCell ref="E11:F11"/>
    <mergeCell ref="H28:I28"/>
    <mergeCell ref="E26:F26"/>
    <mergeCell ref="H26:I26"/>
    <mergeCell ref="E15:F15"/>
    <mergeCell ref="E14:F14"/>
    <mergeCell ref="E12:F12"/>
    <mergeCell ref="H24:I24"/>
    <mergeCell ref="B1:C1"/>
    <mergeCell ref="E9:F9"/>
    <mergeCell ref="E8:F8"/>
    <mergeCell ref="H9:I9"/>
    <mergeCell ref="E10:F10"/>
    <mergeCell ref="E25:F25"/>
    <mergeCell ref="H25:I25"/>
    <mergeCell ref="E24:F24"/>
    <mergeCell ref="H11:I11"/>
    <mergeCell ref="E7:F7"/>
    <mergeCell ref="H27:I27"/>
    <mergeCell ref="E28:F28"/>
    <mergeCell ref="E30:F30"/>
    <mergeCell ref="H30:I30"/>
    <mergeCell ref="E29:F29"/>
    <mergeCell ref="E31:F31"/>
    <mergeCell ref="H31:I31"/>
    <mergeCell ref="H32:I32"/>
    <mergeCell ref="E33:F33"/>
    <mergeCell ref="H33:I33"/>
    <mergeCell ref="D34:F34"/>
    <mergeCell ref="G34:I34"/>
    <mergeCell ref="D35:F35"/>
    <mergeCell ref="G35:I35"/>
    <mergeCell ref="E32:F32"/>
  </mergeCells>
  <printOptions horizontalCentered="1"/>
  <pageMargins left="0.9448818897637796" right="0.15748031496062992" top="0.7874015748031497" bottom="0.5905511811023623" header="0.5118110236220472" footer="0.5118110236220472"/>
  <pageSetup blackAndWhite="1" horizontalDpi="600" verticalDpi="600" orientation="portrait" paperSize="9" scale="90" r:id="rId1"/>
  <ignoredErrors>
    <ignoredError sqref="D26:F34 D44:F52 H70:H71 H73:H74 H72" unlockedFormula="1"/>
    <ignoredError sqref="F75:F76" formula="1"/>
    <ignoredError sqref="G7 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zoomScalePageLayoutView="0" workbookViewId="0" topLeftCell="A1">
      <selection activeCell="G11" sqref="G11"/>
    </sheetView>
  </sheetViews>
  <sheetFormatPr defaultColWidth="0" defaultRowHeight="12.75" zeroHeight="1"/>
  <cols>
    <col min="1" max="1" width="3.8515625" style="107" customWidth="1"/>
    <col min="2" max="2" width="20.421875" style="107" customWidth="1"/>
    <col min="3" max="4" width="11.00390625" style="107" customWidth="1"/>
    <col min="5" max="5" width="7.57421875" style="107" customWidth="1"/>
    <col min="6" max="6" width="16.57421875" style="107" customWidth="1"/>
    <col min="7" max="7" width="20.421875" style="107" customWidth="1"/>
    <col min="8" max="8" width="7.57421875" style="107" customWidth="1"/>
    <col min="9" max="12" width="7.57421875" style="107" hidden="1" customWidth="1"/>
    <col min="13" max="16384" width="0" style="107" hidden="1" customWidth="1"/>
  </cols>
  <sheetData>
    <row r="1" spans="1:7" ht="18.75">
      <c r="A1" s="106"/>
      <c r="B1" s="746">
        <v>3</v>
      </c>
      <c r="C1" s="746"/>
      <c r="D1" s="746"/>
      <c r="E1" s="746"/>
      <c r="F1" s="241"/>
      <c r="G1" s="137" t="s">
        <v>685</v>
      </c>
    </row>
    <row r="2" spans="1:7" ht="12.75">
      <c r="A2" s="106"/>
      <c r="B2" s="106"/>
      <c r="C2" s="106"/>
      <c r="D2" s="106"/>
      <c r="E2" s="106"/>
      <c r="F2" s="106"/>
      <c r="G2" s="106"/>
    </row>
    <row r="3" spans="1:7" ht="12.75">
      <c r="A3" s="106"/>
      <c r="B3" s="106"/>
      <c r="C3" s="106"/>
      <c r="D3" s="106"/>
      <c r="E3" s="106"/>
      <c r="F3" s="106"/>
      <c r="G3" s="106"/>
    </row>
    <row r="4" spans="1:7" ht="15.75" customHeight="1">
      <c r="A4" s="156"/>
      <c r="B4" s="747" t="s">
        <v>156</v>
      </c>
      <c r="C4" s="747"/>
      <c r="D4" s="747"/>
      <c r="E4" s="747"/>
      <c r="F4" s="156"/>
      <c r="G4" s="156"/>
    </row>
    <row r="5" spans="1:7" ht="15.75">
      <c r="A5" s="242"/>
      <c r="B5" s="748" t="str">
        <f>'ТИП-ПРОИЗ'!$B$3:$C$3</f>
        <v>"Топлофикация- ....................." ЕАД</v>
      </c>
      <c r="C5" s="748"/>
      <c r="D5" s="748"/>
      <c r="E5" s="748"/>
      <c r="F5" s="242"/>
      <c r="G5" s="242"/>
    </row>
    <row r="6" spans="1:7" ht="15.75">
      <c r="A6" s="242"/>
      <c r="B6" s="243"/>
      <c r="C6" s="243"/>
      <c r="D6" s="243"/>
      <c r="E6" s="242"/>
      <c r="F6" s="242"/>
      <c r="G6" s="242"/>
    </row>
    <row r="7" spans="1:7" ht="15.75">
      <c r="A7" s="242"/>
      <c r="B7" s="243"/>
      <c r="C7" s="243"/>
      <c r="D7" s="243"/>
      <c r="E7" s="242"/>
      <c r="F7" s="242"/>
      <c r="G7" s="242"/>
    </row>
    <row r="8" ht="12.75"/>
    <row r="9" spans="1:7" ht="13.5" thickBot="1">
      <c r="A9" s="119"/>
      <c r="B9" s="119"/>
      <c r="C9" s="119"/>
      <c r="D9" s="119"/>
      <c r="E9" s="119"/>
      <c r="F9" s="119"/>
      <c r="G9" s="119"/>
    </row>
    <row r="10" spans="1:8" s="110" customFormat="1" ht="30" customHeight="1" thickTop="1">
      <c r="A10" s="244" t="s">
        <v>0</v>
      </c>
      <c r="B10" s="749" t="s">
        <v>71</v>
      </c>
      <c r="C10" s="750"/>
      <c r="D10" s="751"/>
      <c r="E10" s="245" t="s">
        <v>41</v>
      </c>
      <c r="F10" s="246" t="s">
        <v>760</v>
      </c>
      <c r="G10" s="529" t="s">
        <v>762</v>
      </c>
      <c r="H10" s="247"/>
    </row>
    <row r="11" spans="1:8" s="110" customFormat="1" ht="12.75">
      <c r="A11" s="248">
        <v>1</v>
      </c>
      <c r="B11" s="752">
        <v>2</v>
      </c>
      <c r="C11" s="753"/>
      <c r="D11" s="754"/>
      <c r="E11" s="249">
        <v>3</v>
      </c>
      <c r="F11" s="249">
        <v>4</v>
      </c>
      <c r="G11" s="250">
        <v>5</v>
      </c>
      <c r="H11" s="251"/>
    </row>
    <row r="12" spans="1:8" s="254" customFormat="1" ht="15">
      <c r="A12" s="192">
        <v>1</v>
      </c>
      <c r="B12" s="734" t="s">
        <v>72</v>
      </c>
      <c r="C12" s="735"/>
      <c r="D12" s="736"/>
      <c r="E12" s="252" t="s">
        <v>73</v>
      </c>
      <c r="F12" s="74"/>
      <c r="G12" s="75"/>
      <c r="H12" s="253"/>
    </row>
    <row r="13" spans="1:8" s="254" customFormat="1" ht="15" customHeight="1">
      <c r="A13" s="192">
        <v>2</v>
      </c>
      <c r="B13" s="734" t="s">
        <v>92</v>
      </c>
      <c r="C13" s="735"/>
      <c r="D13" s="736"/>
      <c r="E13" s="252" t="s">
        <v>7</v>
      </c>
      <c r="F13" s="255">
        <f>IF(F12+F15=0,0,F12/(F12+F15))</f>
        <v>0</v>
      </c>
      <c r="G13" s="256">
        <f>IF(G12+G15=0,0,G12/(G12+G15))</f>
        <v>0</v>
      </c>
      <c r="H13" s="257"/>
    </row>
    <row r="14" spans="1:8" s="254" customFormat="1" ht="17.25" customHeight="1">
      <c r="A14" s="192">
        <v>3</v>
      </c>
      <c r="B14" s="734" t="s">
        <v>74</v>
      </c>
      <c r="C14" s="735"/>
      <c r="D14" s="736"/>
      <c r="E14" s="252" t="s">
        <v>7</v>
      </c>
      <c r="F14" s="76"/>
      <c r="G14" s="524"/>
      <c r="H14" s="258"/>
    </row>
    <row r="15" spans="1:8" s="254" customFormat="1" ht="15" customHeight="1">
      <c r="A15" s="192">
        <v>4</v>
      </c>
      <c r="B15" s="734" t="s">
        <v>91</v>
      </c>
      <c r="C15" s="735"/>
      <c r="D15" s="736"/>
      <c r="E15" s="252" t="s">
        <v>73</v>
      </c>
      <c r="F15" s="259">
        <f>SUM(F16:F17)</f>
        <v>0</v>
      </c>
      <c r="G15" s="260">
        <f>SUM(G16:G17)</f>
        <v>0</v>
      </c>
      <c r="H15" s="253"/>
    </row>
    <row r="16" spans="1:8" s="254" customFormat="1" ht="15" customHeight="1">
      <c r="A16" s="192"/>
      <c r="B16" s="734" t="s">
        <v>89</v>
      </c>
      <c r="C16" s="735"/>
      <c r="D16" s="736"/>
      <c r="E16" s="252" t="s">
        <v>73</v>
      </c>
      <c r="F16" s="74"/>
      <c r="G16" s="75"/>
      <c r="H16" s="253"/>
    </row>
    <row r="17" spans="1:8" s="254" customFormat="1" ht="15">
      <c r="A17" s="192"/>
      <c r="B17" s="734" t="s">
        <v>90</v>
      </c>
      <c r="C17" s="735"/>
      <c r="D17" s="736"/>
      <c r="E17" s="252" t="s">
        <v>73</v>
      </c>
      <c r="F17" s="74"/>
      <c r="G17" s="75"/>
      <c r="H17" s="253"/>
    </row>
    <row r="18" spans="1:8" s="254" customFormat="1" ht="15" customHeight="1">
      <c r="A18" s="192">
        <v>5</v>
      </c>
      <c r="B18" s="734" t="s">
        <v>93</v>
      </c>
      <c r="C18" s="735"/>
      <c r="D18" s="736"/>
      <c r="E18" s="252" t="s">
        <v>7</v>
      </c>
      <c r="F18" s="255">
        <f>IF(F12+F15=0,0,F15/(F12+F15))</f>
        <v>0</v>
      </c>
      <c r="G18" s="256">
        <f>IF(G12+G15=0,0,G15/(G12+G15))</f>
        <v>0</v>
      </c>
      <c r="H18" s="257"/>
    </row>
    <row r="19" spans="1:8" s="254" customFormat="1" ht="30" customHeight="1">
      <c r="A19" s="192">
        <v>6</v>
      </c>
      <c r="B19" s="734" t="s">
        <v>75</v>
      </c>
      <c r="C19" s="735"/>
      <c r="D19" s="736"/>
      <c r="E19" s="252" t="s">
        <v>7</v>
      </c>
      <c r="F19" s="76"/>
      <c r="G19" s="524"/>
      <c r="H19" s="258"/>
    </row>
    <row r="20" spans="1:8" s="254" customFormat="1" ht="15">
      <c r="A20" s="192">
        <v>7</v>
      </c>
      <c r="B20" s="734" t="s">
        <v>76</v>
      </c>
      <c r="C20" s="735"/>
      <c r="D20" s="736"/>
      <c r="E20" s="252" t="s">
        <v>7</v>
      </c>
      <c r="F20" s="76">
        <v>0.1</v>
      </c>
      <c r="G20" s="524">
        <v>0.1</v>
      </c>
      <c r="H20" s="261"/>
    </row>
    <row r="21" spans="1:8" ht="13.5" thickBot="1">
      <c r="A21" s="262">
        <v>8</v>
      </c>
      <c r="B21" s="739" t="s">
        <v>77</v>
      </c>
      <c r="C21" s="740"/>
      <c r="D21" s="741"/>
      <c r="E21" s="263" t="s">
        <v>7</v>
      </c>
      <c r="F21" s="264">
        <f>ROUND(F19*F18+F14*F13*(F20/(1-F20)+1),4)</f>
        <v>0</v>
      </c>
      <c r="G21" s="265">
        <f>ROUND(G19*G18+G14*G13*(G20/(1-G20)+1),4)</f>
        <v>0</v>
      </c>
      <c r="H21" s="266"/>
    </row>
    <row r="22" ht="13.5" thickTop="1"/>
    <row r="23" ht="12.75"/>
    <row r="24" spans="2:5" ht="12.75">
      <c r="B24" s="733" t="s">
        <v>758</v>
      </c>
      <c r="C24" s="733"/>
      <c r="D24" s="733"/>
      <c r="E24" s="733"/>
    </row>
    <row r="25" spans="2:5" ht="13.5" thickBot="1">
      <c r="B25" s="267"/>
      <c r="C25" s="267"/>
      <c r="D25" s="267"/>
      <c r="E25" s="267"/>
    </row>
    <row r="26" spans="1:7" ht="26.25" customHeight="1" thickTop="1">
      <c r="A26" s="742" t="s">
        <v>0</v>
      </c>
      <c r="B26" s="744" t="s">
        <v>280</v>
      </c>
      <c r="C26" s="744" t="s">
        <v>445</v>
      </c>
      <c r="D26" s="744" t="s">
        <v>443</v>
      </c>
      <c r="E26" s="737" t="s">
        <v>444</v>
      </c>
      <c r="F26" s="268" t="s">
        <v>282</v>
      </c>
      <c r="G26" s="525" t="s">
        <v>705</v>
      </c>
    </row>
    <row r="27" spans="1:7" ht="26.25" customHeight="1">
      <c r="A27" s="743"/>
      <c r="B27" s="745"/>
      <c r="C27" s="745"/>
      <c r="D27" s="745"/>
      <c r="E27" s="738"/>
      <c r="F27" s="270" t="str">
        <f>'ТИП-ПРОИЗ'!$E$5</f>
        <v>ОТЧЕТ</v>
      </c>
      <c r="G27" s="530" t="str">
        <f>G10</f>
        <v>Към 31.12.2017 г.</v>
      </c>
    </row>
    <row r="28" spans="1:7" ht="12.75" customHeight="1">
      <c r="A28" s="269">
        <v>4</v>
      </c>
      <c r="B28" s="271" t="s">
        <v>285</v>
      </c>
      <c r="C28" s="272">
        <f>SUM(C29,C34)</f>
        <v>0</v>
      </c>
      <c r="D28" s="272"/>
      <c r="E28" s="273">
        <f>IF(C28=0,0,SUM(C29*E29,C34*E34)/C28)</f>
        <v>0</v>
      </c>
      <c r="F28" s="274">
        <f>SUM(F29,F34)</f>
        <v>0</v>
      </c>
      <c r="G28" s="526">
        <f>SUM(G29,G34)</f>
        <v>0</v>
      </c>
    </row>
    <row r="29" spans="1:7" ht="12.75">
      <c r="A29" s="183" t="s">
        <v>252</v>
      </c>
      <c r="B29" s="275" t="s">
        <v>283</v>
      </c>
      <c r="C29" s="276">
        <f>SUM(C30:C33)</f>
        <v>0</v>
      </c>
      <c r="D29" s="276"/>
      <c r="E29" s="273">
        <f>ROUND(IF(C29=0,0,SUMPRODUCT(C30:C33,E30:E33)/C29),4)</f>
        <v>0</v>
      </c>
      <c r="F29" s="277">
        <f>SUM(F30:F33)</f>
        <v>0</v>
      </c>
      <c r="G29" s="278">
        <f>SUM(G30:G33)</f>
        <v>0</v>
      </c>
    </row>
    <row r="30" spans="1:7" ht="12.75">
      <c r="A30" s="192"/>
      <c r="B30" s="204" t="s">
        <v>281</v>
      </c>
      <c r="C30" s="48"/>
      <c r="D30" s="48"/>
      <c r="E30" s="49"/>
      <c r="F30" s="48"/>
      <c r="G30" s="527">
        <f>SUM(C30,-F30)</f>
        <v>0</v>
      </c>
    </row>
    <row r="31" spans="1:7" ht="15" customHeight="1">
      <c r="A31" s="192"/>
      <c r="B31" s="204" t="s">
        <v>281</v>
      </c>
      <c r="C31" s="48"/>
      <c r="D31" s="48"/>
      <c r="E31" s="49"/>
      <c r="F31" s="48"/>
      <c r="G31" s="527">
        <f>SUM(C31,-F31)</f>
        <v>0</v>
      </c>
    </row>
    <row r="32" spans="1:7" ht="15" customHeight="1">
      <c r="A32" s="192"/>
      <c r="B32" s="204" t="s">
        <v>281</v>
      </c>
      <c r="C32" s="48"/>
      <c r="D32" s="48"/>
      <c r="E32" s="49"/>
      <c r="F32" s="48"/>
      <c r="G32" s="527">
        <f>SUM(C32,-F32)</f>
        <v>0</v>
      </c>
    </row>
    <row r="33" spans="1:7" ht="15" customHeight="1">
      <c r="A33" s="192"/>
      <c r="B33" s="204" t="s">
        <v>281</v>
      </c>
      <c r="C33" s="48"/>
      <c r="D33" s="48"/>
      <c r="E33" s="49"/>
      <c r="F33" s="48"/>
      <c r="G33" s="527">
        <f>SUM(C33,-F33)</f>
        <v>0</v>
      </c>
    </row>
    <row r="34" spans="1:7" ht="12.75" customHeight="1">
      <c r="A34" s="183" t="s">
        <v>253</v>
      </c>
      <c r="B34" s="279" t="s">
        <v>284</v>
      </c>
      <c r="C34" s="280">
        <f>SUM(C35:C43)</f>
        <v>0</v>
      </c>
      <c r="D34" s="280"/>
      <c r="E34" s="273">
        <f>ROUND(IF(C34=0,0,SUMPRODUCT(C35:C43,E35:E43)/C34),4)</f>
        <v>0</v>
      </c>
      <c r="F34" s="277">
        <f>SUM(F35:F43)</f>
        <v>0</v>
      </c>
      <c r="G34" s="278">
        <f>SUM(G35:G43)</f>
        <v>0</v>
      </c>
    </row>
    <row r="35" spans="1:7" ht="12.75">
      <c r="A35" s="192"/>
      <c r="B35" s="204" t="s">
        <v>281</v>
      </c>
      <c r="C35" s="48"/>
      <c r="D35" s="48"/>
      <c r="E35" s="49"/>
      <c r="F35" s="48"/>
      <c r="G35" s="527">
        <f aca="true" t="shared" si="0" ref="G35:G43">SUM(C35,-F35)</f>
        <v>0</v>
      </c>
    </row>
    <row r="36" spans="1:7" ht="12.75">
      <c r="A36" s="192"/>
      <c r="B36" s="204" t="s">
        <v>281</v>
      </c>
      <c r="C36" s="48"/>
      <c r="D36" s="48"/>
      <c r="E36" s="49"/>
      <c r="F36" s="48"/>
      <c r="G36" s="527">
        <f t="shared" si="0"/>
        <v>0</v>
      </c>
    </row>
    <row r="37" spans="1:7" ht="12.75">
      <c r="A37" s="192"/>
      <c r="B37" s="204" t="s">
        <v>281</v>
      </c>
      <c r="C37" s="48"/>
      <c r="D37" s="48"/>
      <c r="E37" s="49"/>
      <c r="F37" s="48"/>
      <c r="G37" s="527">
        <f t="shared" si="0"/>
        <v>0</v>
      </c>
    </row>
    <row r="38" spans="1:7" ht="12.75">
      <c r="A38" s="192"/>
      <c r="B38" s="204" t="s">
        <v>281</v>
      </c>
      <c r="C38" s="48"/>
      <c r="D38" s="48"/>
      <c r="E38" s="49"/>
      <c r="F38" s="48"/>
      <c r="G38" s="527">
        <f t="shared" si="0"/>
        <v>0</v>
      </c>
    </row>
    <row r="39" spans="1:7" ht="12.75">
      <c r="A39" s="192"/>
      <c r="B39" s="204" t="s">
        <v>281</v>
      </c>
      <c r="C39" s="48"/>
      <c r="D39" s="48"/>
      <c r="E39" s="49"/>
      <c r="F39" s="48"/>
      <c r="G39" s="527">
        <f t="shared" si="0"/>
        <v>0</v>
      </c>
    </row>
    <row r="40" spans="1:7" ht="12.75">
      <c r="A40" s="192"/>
      <c r="B40" s="204" t="s">
        <v>281</v>
      </c>
      <c r="C40" s="48"/>
      <c r="D40" s="48"/>
      <c r="E40" s="49"/>
      <c r="F40" s="48"/>
      <c r="G40" s="527">
        <f t="shared" si="0"/>
        <v>0</v>
      </c>
    </row>
    <row r="41" spans="1:7" ht="12.75">
      <c r="A41" s="192"/>
      <c r="B41" s="204" t="s">
        <v>281</v>
      </c>
      <c r="C41" s="48"/>
      <c r="D41" s="48"/>
      <c r="E41" s="49"/>
      <c r="F41" s="48"/>
      <c r="G41" s="527">
        <f t="shared" si="0"/>
        <v>0</v>
      </c>
    </row>
    <row r="42" spans="1:7" ht="12.75">
      <c r="A42" s="192"/>
      <c r="B42" s="204" t="s">
        <v>281</v>
      </c>
      <c r="C42" s="48"/>
      <c r="D42" s="48"/>
      <c r="E42" s="49"/>
      <c r="F42" s="48"/>
      <c r="G42" s="527">
        <f t="shared" si="0"/>
        <v>0</v>
      </c>
    </row>
    <row r="43" spans="1:7" ht="13.5" thickBot="1">
      <c r="A43" s="281"/>
      <c r="B43" s="282" t="s">
        <v>281</v>
      </c>
      <c r="C43" s="50"/>
      <c r="D43" s="50"/>
      <c r="E43" s="51"/>
      <c r="F43" s="50"/>
      <c r="G43" s="528">
        <f t="shared" si="0"/>
        <v>0</v>
      </c>
    </row>
    <row r="44" spans="8:9" ht="13.5" thickTop="1">
      <c r="H44" s="139"/>
      <c r="I44" s="139"/>
    </row>
    <row r="45" spans="1:10" ht="15">
      <c r="A45" s="283" t="s">
        <v>98</v>
      </c>
      <c r="B45" s="284"/>
      <c r="C45" s="136"/>
      <c r="D45" s="136"/>
      <c r="E45" s="110"/>
      <c r="F45" s="110"/>
      <c r="G45" s="110"/>
      <c r="H45" s="109"/>
      <c r="I45" s="109"/>
      <c r="J45" s="109"/>
    </row>
    <row r="46" spans="1:10" ht="15">
      <c r="A46" s="285" t="s">
        <v>179</v>
      </c>
      <c r="B46" s="732" t="s">
        <v>327</v>
      </c>
      <c r="C46" s="732"/>
      <c r="D46" s="732"/>
      <c r="E46" s="732"/>
      <c r="F46" s="732"/>
      <c r="G46" s="732"/>
      <c r="H46" s="287"/>
      <c r="I46" s="287"/>
      <c r="J46" s="287"/>
    </row>
    <row r="47" spans="1:10" ht="15">
      <c r="A47" s="285"/>
      <c r="B47" s="286"/>
      <c r="C47" s="286"/>
      <c r="D47" s="286"/>
      <c r="E47" s="286"/>
      <c r="F47" s="286"/>
      <c r="G47" s="286"/>
      <c r="H47" s="287"/>
      <c r="I47" s="287"/>
      <c r="J47" s="287"/>
    </row>
    <row r="48" spans="1:10" ht="15">
      <c r="A48" s="285"/>
      <c r="B48" s="286"/>
      <c r="C48" s="286"/>
      <c r="D48" s="286"/>
      <c r="E48" s="286"/>
      <c r="F48" s="286"/>
      <c r="G48" s="286"/>
      <c r="H48" s="287"/>
      <c r="I48" s="287"/>
      <c r="J48" s="287"/>
    </row>
    <row r="49" spans="1:10" ht="15">
      <c r="A49" s="285"/>
      <c r="B49" s="286"/>
      <c r="C49" s="286"/>
      <c r="D49" s="286"/>
      <c r="E49" s="286"/>
      <c r="F49" s="286"/>
      <c r="G49" s="286"/>
      <c r="H49" s="287"/>
      <c r="I49" s="287"/>
      <c r="J49" s="287"/>
    </row>
    <row r="50" spans="1:10" ht="15">
      <c r="A50" s="285"/>
      <c r="B50" s="286"/>
      <c r="C50" s="286"/>
      <c r="D50" s="286"/>
      <c r="E50" s="286"/>
      <c r="F50" s="286"/>
      <c r="G50" s="286"/>
      <c r="H50" s="287"/>
      <c r="I50" s="287"/>
      <c r="J50" s="287"/>
    </row>
    <row r="51" ht="12.75"/>
    <row r="52" spans="1:5" ht="15.75">
      <c r="A52" s="136" t="str">
        <f>Разходи!$A$91</f>
        <v>Гл. счетоводител:</v>
      </c>
      <c r="B52" s="288"/>
      <c r="C52" s="288"/>
      <c r="D52" s="288"/>
      <c r="E52" s="138" t="str">
        <f>Разходи!$E$91</f>
        <v>Изп. директор:</v>
      </c>
    </row>
    <row r="53" ht="12.75"/>
    <row r="54" spans="1:7" ht="12.75">
      <c r="A54" s="136"/>
      <c r="B54" s="289" t="str">
        <f>Разходи!$B$93</f>
        <v>/ Xxx                  /</v>
      </c>
      <c r="C54" s="289"/>
      <c r="D54" s="289"/>
      <c r="E54" s="109"/>
      <c r="F54" s="731" t="str">
        <f>Разходи!$F$93</f>
        <v>/ Xxxxxx                  /</v>
      </c>
      <c r="G54" s="731"/>
    </row>
    <row r="55" ht="12.75"/>
    <row r="56" ht="12.75"/>
    <row r="57" ht="12.75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/>
  <mergeCells count="23">
    <mergeCell ref="B1:E1"/>
    <mergeCell ref="B4:E4"/>
    <mergeCell ref="B5:E5"/>
    <mergeCell ref="B18:D18"/>
    <mergeCell ref="B10:D10"/>
    <mergeCell ref="B11:D11"/>
    <mergeCell ref="B12:D12"/>
    <mergeCell ref="A26:A27"/>
    <mergeCell ref="B26:B27"/>
    <mergeCell ref="C26:C27"/>
    <mergeCell ref="D26:D27"/>
    <mergeCell ref="B15:D15"/>
    <mergeCell ref="B13:D13"/>
    <mergeCell ref="B14:D14"/>
    <mergeCell ref="B20:D20"/>
    <mergeCell ref="F54:G54"/>
    <mergeCell ref="B46:G46"/>
    <mergeCell ref="B24:E24"/>
    <mergeCell ref="B16:D16"/>
    <mergeCell ref="B17:D17"/>
    <mergeCell ref="E26:E27"/>
    <mergeCell ref="B21:D21"/>
    <mergeCell ref="B19:D19"/>
  </mergeCells>
  <printOptions horizontalCentered="1"/>
  <pageMargins left="0.7480314960629921" right="0.15748031496062992" top="0.7874015748031497" bottom="0.5905511811023623" header="0.5118110236220472" footer="0.5118110236220472"/>
  <pageSetup blackAndWhite="1" horizontalDpi="600" verticalDpi="600" orientation="portrait" paperSize="9" scale="90" r:id="rId1"/>
  <ignoredErrors>
    <ignoredError sqref="F29 G34" formulaRange="1" unlockedFormula="1"/>
    <ignoredError sqref="F34 G29:G33 G35:G43" unlockedFormula="1"/>
    <ignoredError sqref="G34" formula="1" unlockedFormula="1"/>
    <ignoredError sqref="E29 E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showGridLines="0" showZeros="0" zoomScale="90" zoomScaleNormal="90" zoomScalePageLayoutView="0" workbookViewId="0" topLeftCell="A1">
      <pane ySplit="7" topLeftCell="A83" activePane="bottomLeft" state="frozen"/>
      <selection pane="topLeft" activeCell="A1" sqref="A1"/>
      <selection pane="bottomLeft" activeCell="B7" sqref="B7"/>
    </sheetView>
  </sheetViews>
  <sheetFormatPr defaultColWidth="0" defaultRowHeight="12.75" zeroHeight="1"/>
  <cols>
    <col min="1" max="1" width="5.57421875" style="110" customWidth="1"/>
    <col min="2" max="2" width="75.421875" style="136" customWidth="1"/>
    <col min="3" max="3" width="10.57421875" style="110" customWidth="1"/>
    <col min="4" max="4" width="10.00390625" style="110" customWidth="1"/>
    <col min="5" max="5" width="15.57421875" style="136" customWidth="1"/>
    <col min="6" max="6" width="16.00390625" style="136" customWidth="1"/>
    <col min="7" max="7" width="15.57421875" style="136" customWidth="1"/>
    <col min="8" max="16384" width="0" style="136" hidden="1" customWidth="1"/>
  </cols>
  <sheetData>
    <row r="1" spans="1:6" ht="18.75">
      <c r="A1" s="156"/>
      <c r="B1" s="756">
        <v>4</v>
      </c>
      <c r="C1" s="756"/>
      <c r="D1" s="338"/>
      <c r="E1" s="339"/>
      <c r="F1" s="137" t="s">
        <v>686</v>
      </c>
    </row>
    <row r="2" spans="1:6" ht="12.75">
      <c r="A2" s="156"/>
      <c r="B2" s="757" t="s">
        <v>218</v>
      </c>
      <c r="C2" s="757"/>
      <c r="D2" s="156"/>
      <c r="E2" s="340"/>
      <c r="F2" s="340"/>
    </row>
    <row r="3" spans="1:6" ht="12.75">
      <c r="A3" s="156"/>
      <c r="B3" s="87" t="s">
        <v>224</v>
      </c>
      <c r="C3" s="156"/>
      <c r="D3" s="156"/>
      <c r="E3" s="340"/>
      <c r="F3"/>
    </row>
    <row r="4" spans="2:6" ht="12.75" customHeight="1" thickBot="1">
      <c r="B4" s="341"/>
      <c r="C4" s="342"/>
      <c r="F4" s="211"/>
    </row>
    <row r="5" spans="1:6" ht="32.25" customHeight="1" thickTop="1">
      <c r="A5" s="762" t="s">
        <v>0</v>
      </c>
      <c r="B5" s="764">
        <v>7.2019</v>
      </c>
      <c r="C5" s="758" t="s">
        <v>42</v>
      </c>
      <c r="D5" s="760" t="s">
        <v>14</v>
      </c>
      <c r="E5" s="345" t="s">
        <v>336</v>
      </c>
      <c r="F5" s="346" t="s">
        <v>756</v>
      </c>
    </row>
    <row r="6" spans="1:6" ht="15.75">
      <c r="A6" s="763"/>
      <c r="B6" s="765"/>
      <c r="C6" s="759"/>
      <c r="D6" s="761"/>
      <c r="E6" s="347">
        <f>($B$5-7.0001)*10000</f>
        <v>2018.0000000000043</v>
      </c>
      <c r="F6" s="662">
        <f>$B$5</f>
        <v>7.2019</v>
      </c>
    </row>
    <row r="7" spans="1:6" ht="12.75">
      <c r="A7" s="348">
        <v>1</v>
      </c>
      <c r="B7" s="349">
        <v>2</v>
      </c>
      <c r="C7" s="350">
        <v>3</v>
      </c>
      <c r="D7" s="350">
        <v>4</v>
      </c>
      <c r="E7" s="351">
        <v>5</v>
      </c>
      <c r="F7" s="532">
        <v>6</v>
      </c>
    </row>
    <row r="8" spans="1:7" s="206" customFormat="1" ht="15" customHeight="1">
      <c r="A8" s="383">
        <v>1</v>
      </c>
      <c r="B8" s="352" t="s">
        <v>538</v>
      </c>
      <c r="C8" s="353" t="s">
        <v>221</v>
      </c>
      <c r="D8" s="111" t="s">
        <v>70</v>
      </c>
      <c r="E8" s="354">
        <f>SUM(E9:E10)</f>
        <v>0</v>
      </c>
      <c r="F8" s="436">
        <f>SUM(F9:F10)</f>
        <v>0</v>
      </c>
      <c r="G8" s="136"/>
    </row>
    <row r="9" spans="1:7" s="206" customFormat="1" ht="15.75">
      <c r="A9" s="366" t="s">
        <v>259</v>
      </c>
      <c r="B9" s="356" t="s">
        <v>539</v>
      </c>
      <c r="C9" s="353" t="s">
        <v>477</v>
      </c>
      <c r="D9" s="111" t="s">
        <v>70</v>
      </c>
      <c r="E9" s="357">
        <f>SUM(E12,'ТИП-ПРЕНОС'!D12)</f>
        <v>0</v>
      </c>
      <c r="F9" s="437">
        <f>SUM(F12,'ТИП-ПРЕНОС'!E12)</f>
        <v>0</v>
      </c>
      <c r="G9" s="136"/>
    </row>
    <row r="10" spans="1:7" s="206" customFormat="1" ht="15.75">
      <c r="A10" s="366" t="s">
        <v>260</v>
      </c>
      <c r="B10" s="356" t="s">
        <v>540</v>
      </c>
      <c r="C10" s="353" t="s">
        <v>478</v>
      </c>
      <c r="D10" s="111" t="s">
        <v>70</v>
      </c>
      <c r="E10" s="357">
        <f>SUM(E13,'ТИП-ПРЕНОС'!D33)</f>
        <v>0</v>
      </c>
      <c r="F10" s="437">
        <f>SUM(F13,'ТИП-ПРЕНОС'!E33)</f>
        <v>0</v>
      </c>
      <c r="G10" s="136"/>
    </row>
    <row r="11" spans="1:7" s="206" customFormat="1" ht="15.75">
      <c r="A11" s="383">
        <v>2</v>
      </c>
      <c r="B11" s="358" t="s">
        <v>509</v>
      </c>
      <c r="C11" s="353" t="s">
        <v>401</v>
      </c>
      <c r="D11" s="111" t="s">
        <v>70</v>
      </c>
      <c r="E11" s="359">
        <f>SUM(E12:E13)</f>
        <v>0</v>
      </c>
      <c r="F11" s="438">
        <f>SUM(F12:F13)</f>
        <v>0</v>
      </c>
      <c r="G11" s="136"/>
    </row>
    <row r="12" spans="1:7" s="206" customFormat="1" ht="15.75">
      <c r="A12" s="383" t="s">
        <v>275</v>
      </c>
      <c r="B12" s="356" t="s">
        <v>20</v>
      </c>
      <c r="C12" s="353" t="s">
        <v>479</v>
      </c>
      <c r="D12" s="111" t="s">
        <v>70</v>
      </c>
      <c r="E12" s="94"/>
      <c r="F12" s="439"/>
      <c r="G12" s="136"/>
    </row>
    <row r="13" spans="1:7" s="206" customFormat="1" ht="15.75">
      <c r="A13" s="383" t="s">
        <v>276</v>
      </c>
      <c r="B13" s="356" t="s">
        <v>222</v>
      </c>
      <c r="C13" s="353" t="s">
        <v>480</v>
      </c>
      <c r="D13" s="111" t="s">
        <v>70</v>
      </c>
      <c r="E13" s="94"/>
      <c r="F13" s="439"/>
      <c r="G13" s="136"/>
    </row>
    <row r="14" spans="1:7" s="206" customFormat="1" ht="15.75">
      <c r="A14" s="383">
        <v>3</v>
      </c>
      <c r="B14" s="358" t="s">
        <v>192</v>
      </c>
      <c r="C14" s="353" t="s">
        <v>401</v>
      </c>
      <c r="D14" s="111" t="s">
        <v>70</v>
      </c>
      <c r="E14" s="360">
        <f>SUM(E15:E16)</f>
        <v>0</v>
      </c>
      <c r="F14" s="440">
        <f>SUM(F15:F16)</f>
        <v>0</v>
      </c>
      <c r="G14" s="136"/>
    </row>
    <row r="15" spans="1:7" s="206" customFormat="1" ht="15.75">
      <c r="A15" s="383" t="s">
        <v>264</v>
      </c>
      <c r="B15" s="356" t="s">
        <v>20</v>
      </c>
      <c r="C15" s="353" t="s">
        <v>479</v>
      </c>
      <c r="D15" s="111" t="s">
        <v>70</v>
      </c>
      <c r="E15" s="88"/>
      <c r="F15" s="430"/>
      <c r="G15" s="136"/>
    </row>
    <row r="16" spans="1:7" s="206" customFormat="1" ht="15.75">
      <c r="A16" s="383" t="s">
        <v>265</v>
      </c>
      <c r="B16" s="356" t="s">
        <v>222</v>
      </c>
      <c r="C16" s="353" t="s">
        <v>480</v>
      </c>
      <c r="D16" s="111" t="s">
        <v>70</v>
      </c>
      <c r="E16" s="88"/>
      <c r="F16" s="430"/>
      <c r="G16" s="136"/>
    </row>
    <row r="17" spans="1:7" s="206" customFormat="1" ht="15.75">
      <c r="A17" s="383">
        <v>4</v>
      </c>
      <c r="B17" s="358" t="s">
        <v>192</v>
      </c>
      <c r="C17" s="353" t="s">
        <v>401</v>
      </c>
      <c r="D17" s="111" t="s">
        <v>7</v>
      </c>
      <c r="E17" s="361">
        <f aca="true" t="shared" si="0" ref="E17:F19">IF(E20=0,0,E14/E20)</f>
        <v>0</v>
      </c>
      <c r="F17" s="441">
        <f t="shared" si="0"/>
        <v>0</v>
      </c>
      <c r="G17" s="136"/>
    </row>
    <row r="18" spans="1:7" s="206" customFormat="1" ht="15.75">
      <c r="A18" s="383" t="s">
        <v>252</v>
      </c>
      <c r="B18" s="356" t="s">
        <v>20</v>
      </c>
      <c r="C18" s="353" t="s">
        <v>479</v>
      </c>
      <c r="D18" s="111" t="s">
        <v>7</v>
      </c>
      <c r="E18" s="361">
        <f t="shared" si="0"/>
        <v>0</v>
      </c>
      <c r="F18" s="441">
        <f t="shared" si="0"/>
        <v>0</v>
      </c>
      <c r="G18" s="136"/>
    </row>
    <row r="19" spans="1:7" s="206" customFormat="1" ht="15.75">
      <c r="A19" s="383" t="s">
        <v>253</v>
      </c>
      <c r="B19" s="356" t="s">
        <v>222</v>
      </c>
      <c r="C19" s="353" t="s">
        <v>480</v>
      </c>
      <c r="D19" s="111" t="s">
        <v>7</v>
      </c>
      <c r="E19" s="361">
        <f t="shared" si="0"/>
        <v>0</v>
      </c>
      <c r="F19" s="441">
        <f t="shared" si="0"/>
        <v>0</v>
      </c>
      <c r="G19" s="136"/>
    </row>
    <row r="20" spans="1:6" ht="15.75">
      <c r="A20" s="366">
        <v>5</v>
      </c>
      <c r="B20" s="358" t="s">
        <v>542</v>
      </c>
      <c r="C20" s="111" t="s">
        <v>220</v>
      </c>
      <c r="D20" s="111" t="s">
        <v>70</v>
      </c>
      <c r="E20" s="354">
        <f>SUM(E21:E22)</f>
        <v>0</v>
      </c>
      <c r="F20" s="436">
        <f>SUM(F21:F22)</f>
        <v>0</v>
      </c>
    </row>
    <row r="21" spans="1:6" ht="15.75">
      <c r="A21" s="366" t="s">
        <v>266</v>
      </c>
      <c r="B21" s="356" t="s">
        <v>20</v>
      </c>
      <c r="C21" s="111" t="s">
        <v>347</v>
      </c>
      <c r="D21" s="111" t="s">
        <v>70</v>
      </c>
      <c r="E21" s="362">
        <f>SUM(E9,E15)</f>
        <v>0</v>
      </c>
      <c r="F21" s="442">
        <f>SUM(F9,F15)</f>
        <v>0</v>
      </c>
    </row>
    <row r="22" spans="1:6" ht="16.5" thickBot="1">
      <c r="A22" s="366" t="s">
        <v>267</v>
      </c>
      <c r="B22" s="356" t="s">
        <v>222</v>
      </c>
      <c r="C22" s="111" t="s">
        <v>348</v>
      </c>
      <c r="D22" s="111" t="s">
        <v>70</v>
      </c>
      <c r="E22" s="362">
        <f>SUM(E10,E16)</f>
        <v>0</v>
      </c>
      <c r="F22" s="442">
        <f>SUM(F10,F16)</f>
        <v>0</v>
      </c>
    </row>
    <row r="23" spans="1:6" ht="13.5" thickTop="1">
      <c r="A23" s="343"/>
      <c r="B23" s="363" t="s">
        <v>468</v>
      </c>
      <c r="C23" s="344" t="s">
        <v>42</v>
      </c>
      <c r="D23" s="344" t="s">
        <v>14</v>
      </c>
      <c r="E23" s="364"/>
      <c r="F23" s="365"/>
    </row>
    <row r="24" spans="1:6" ht="15.75">
      <c r="A24" s="366">
        <v>6</v>
      </c>
      <c r="B24" s="358" t="s">
        <v>473</v>
      </c>
      <c r="C24" s="111" t="s">
        <v>742</v>
      </c>
      <c r="D24" s="115" t="s">
        <v>70</v>
      </c>
      <c r="E24" s="367">
        <f>SUM(E25:E26)</f>
        <v>0</v>
      </c>
      <c r="F24" s="368">
        <f>SUM(F25:F26)</f>
        <v>0</v>
      </c>
    </row>
    <row r="25" spans="1:6" ht="15.75">
      <c r="A25" s="366" t="s">
        <v>504</v>
      </c>
      <c r="B25" s="356" t="s">
        <v>20</v>
      </c>
      <c r="C25" s="111" t="s">
        <v>470</v>
      </c>
      <c r="D25" s="115" t="s">
        <v>70</v>
      </c>
      <c r="E25" s="429"/>
      <c r="F25" s="430"/>
    </row>
    <row r="26" spans="1:6" ht="15.75">
      <c r="A26" s="366" t="s">
        <v>505</v>
      </c>
      <c r="B26" s="356" t="s">
        <v>222</v>
      </c>
      <c r="C26" s="111" t="s">
        <v>469</v>
      </c>
      <c r="D26" s="115" t="s">
        <v>70</v>
      </c>
      <c r="E26" s="429"/>
      <c r="F26" s="430"/>
    </row>
    <row r="27" spans="1:6" ht="15.75">
      <c r="A27" s="366">
        <v>7</v>
      </c>
      <c r="B27" s="369" t="s">
        <v>190</v>
      </c>
      <c r="C27" s="355" t="s">
        <v>15</v>
      </c>
      <c r="D27" s="355" t="s">
        <v>70</v>
      </c>
      <c r="E27" s="92"/>
      <c r="F27" s="443"/>
    </row>
    <row r="28" spans="1:6" ht="12.75">
      <c r="A28" s="366" t="s">
        <v>510</v>
      </c>
      <c r="B28" s="370" t="s">
        <v>414</v>
      </c>
      <c r="C28" s="355" t="s">
        <v>415</v>
      </c>
      <c r="D28" s="355" t="s">
        <v>70</v>
      </c>
      <c r="E28" s="88"/>
      <c r="F28" s="430"/>
    </row>
    <row r="29" spans="1:6" ht="12.75">
      <c r="A29" s="366" t="s">
        <v>511</v>
      </c>
      <c r="B29" s="370" t="s">
        <v>350</v>
      </c>
      <c r="C29" s="355" t="s">
        <v>349</v>
      </c>
      <c r="D29" s="355" t="s">
        <v>70</v>
      </c>
      <c r="E29" s="362">
        <f>SUM(E27,-E30)</f>
        <v>0</v>
      </c>
      <c r="F29" s="442">
        <f>SUM(F27,-F30)</f>
        <v>0</v>
      </c>
    </row>
    <row r="30" spans="1:6" ht="12.75">
      <c r="A30" s="366" t="s">
        <v>512</v>
      </c>
      <c r="B30" s="370" t="s">
        <v>627</v>
      </c>
      <c r="C30" s="355" t="s">
        <v>492</v>
      </c>
      <c r="D30" s="355" t="s">
        <v>70</v>
      </c>
      <c r="E30" s="88"/>
      <c r="F30" s="430"/>
    </row>
    <row r="31" spans="1:6" ht="14.25">
      <c r="A31" s="366">
        <v>8</v>
      </c>
      <c r="B31" s="371" t="s">
        <v>498</v>
      </c>
      <c r="C31" s="355" t="s">
        <v>422</v>
      </c>
      <c r="D31" s="355" t="s">
        <v>378</v>
      </c>
      <c r="E31" s="357">
        <f>E32*860/7000</f>
        <v>0</v>
      </c>
      <c r="F31" s="437">
        <f>F32*860/7000</f>
        <v>0</v>
      </c>
    </row>
    <row r="32" spans="1:7" ht="15.75">
      <c r="A32" s="366">
        <v>9</v>
      </c>
      <c r="B32" s="371" t="s">
        <v>496</v>
      </c>
      <c r="C32" s="355" t="s">
        <v>731</v>
      </c>
      <c r="D32" s="111" t="s">
        <v>70</v>
      </c>
      <c r="E32" s="360">
        <f>ROUND(SUMPRODUCT(E33:E37,E$75:E$79)/860,3)</f>
        <v>0</v>
      </c>
      <c r="F32" s="440">
        <f>ROUND(SUMPRODUCT(F33:F37,F$75:F$79)/860,3)</f>
        <v>0</v>
      </c>
      <c r="G32" s="372"/>
    </row>
    <row r="33" spans="1:7" ht="15.75">
      <c r="A33" s="366" t="s">
        <v>513</v>
      </c>
      <c r="B33" s="212" t="s">
        <v>9</v>
      </c>
      <c r="C33" s="111" t="s">
        <v>21</v>
      </c>
      <c r="D33" s="111" t="s">
        <v>376</v>
      </c>
      <c r="E33" s="88"/>
      <c r="F33" s="430"/>
      <c r="G33" s="373"/>
    </row>
    <row r="34" spans="1:6" ht="12.75">
      <c r="A34" s="366" t="s">
        <v>514</v>
      </c>
      <c r="B34" s="212" t="s">
        <v>10</v>
      </c>
      <c r="C34" s="111" t="s">
        <v>22</v>
      </c>
      <c r="D34" s="111" t="s">
        <v>23</v>
      </c>
      <c r="E34" s="88"/>
      <c r="F34" s="430"/>
    </row>
    <row r="35" spans="1:7" ht="12.75">
      <c r="A35" s="366" t="s">
        <v>515</v>
      </c>
      <c r="B35" s="212" t="s">
        <v>12</v>
      </c>
      <c r="C35" s="111" t="s">
        <v>24</v>
      </c>
      <c r="D35" s="111" t="s">
        <v>23</v>
      </c>
      <c r="E35" s="88"/>
      <c r="F35" s="430"/>
      <c r="G35" s="372"/>
    </row>
    <row r="36" spans="1:7" ht="12.75">
      <c r="A36" s="366" t="s">
        <v>516</v>
      </c>
      <c r="B36" s="212" t="s">
        <v>11</v>
      </c>
      <c r="C36" s="111" t="s">
        <v>25</v>
      </c>
      <c r="D36" s="111" t="s">
        <v>23</v>
      </c>
      <c r="E36" s="88"/>
      <c r="F36" s="430"/>
      <c r="G36" s="372"/>
    </row>
    <row r="37" spans="1:7" ht="15.75">
      <c r="A37" s="366" t="s">
        <v>517</v>
      </c>
      <c r="B37" s="435" t="s">
        <v>373</v>
      </c>
      <c r="C37" s="111" t="s">
        <v>419</v>
      </c>
      <c r="D37" s="111" t="s">
        <v>435</v>
      </c>
      <c r="E37" s="88"/>
      <c r="F37" s="430"/>
      <c r="G37" s="373"/>
    </row>
    <row r="38" spans="1:6" ht="14.25">
      <c r="A38" s="366">
        <v>10</v>
      </c>
      <c r="B38" s="375">
        <f>B93</f>
        <v>0.6</v>
      </c>
      <c r="C38" s="355" t="s">
        <v>508</v>
      </c>
      <c r="D38" s="355" t="s">
        <v>353</v>
      </c>
      <c r="E38" s="669">
        <f>E33*E$80/860*3.6*(1-Коефициенти!E22)</f>
        <v>0</v>
      </c>
      <c r="F38" s="669">
        <f>F33*F$80/860*3.6*(1-Коефициенти!F22)</f>
        <v>0</v>
      </c>
    </row>
    <row r="39" spans="1:6" ht="14.25">
      <c r="A39" s="366">
        <v>11</v>
      </c>
      <c r="B39" s="376">
        <f>B94</f>
        <v>0.6</v>
      </c>
      <c r="C39" s="355" t="s">
        <v>424</v>
      </c>
      <c r="D39" s="355" t="s">
        <v>353</v>
      </c>
      <c r="E39" s="362">
        <f>E36*E$83/860*3.6*(1-Коефициенти!E22)</f>
        <v>0</v>
      </c>
      <c r="F39" s="442">
        <f>F36*F$83/860*3.6*(1-Коефициенти!F22)</f>
        <v>0</v>
      </c>
    </row>
    <row r="40" spans="1:6" ht="15.75">
      <c r="A40" s="366">
        <v>12</v>
      </c>
      <c r="B40" s="371" t="s">
        <v>413</v>
      </c>
      <c r="C40" s="377" t="s">
        <v>475</v>
      </c>
      <c r="D40" s="377" t="s">
        <v>7</v>
      </c>
      <c r="E40" s="378">
        <f>IF(Коефициенти!E18=0,0,IF(Коефициенти!E17=0,0,IF((Коефициенти!E21/Коефициенти!E18+Коефициенти!E20/Коефициенти!E17)=0,0,1-1/(Коефициенти!E21/Коефициенти!E18+Коефициенти!E20/Коефициенти!E17))))</f>
        <v>0</v>
      </c>
      <c r="F40" s="444">
        <f>IF(Коефициенти!F18=0,0,IF(Коефициенти!F17=0,0,IF((Коефициенти!F21/Коефициенти!F18+Коефициенти!F20/Коефициенти!F17)=0,0,1-1/(Коефициенти!F21/Коефициенти!F18+Коефициенти!F20/Коефициенти!F17))))</f>
        <v>0</v>
      </c>
    </row>
    <row r="41" spans="1:6" ht="15.75">
      <c r="A41" s="366">
        <v>13</v>
      </c>
      <c r="B41" s="123" t="s">
        <v>476</v>
      </c>
      <c r="C41" s="111" t="s">
        <v>484</v>
      </c>
      <c r="D41" s="111" t="s">
        <v>7</v>
      </c>
      <c r="E41" s="379">
        <f>Коефициенти!E19</f>
        <v>0</v>
      </c>
      <c r="F41" s="444">
        <f>Коефициенти!F19</f>
        <v>0</v>
      </c>
    </row>
    <row r="42" spans="1:6" ht="15">
      <c r="A42" s="366">
        <v>14</v>
      </c>
      <c r="B42" s="381" t="s">
        <v>537</v>
      </c>
      <c r="C42" s="111" t="s">
        <v>485</v>
      </c>
      <c r="D42" s="115" t="s">
        <v>35</v>
      </c>
      <c r="E42" s="382">
        <f>ROUND(IF(E27=0,0,E31*Коефициенти!E24*1000/E27),2)</f>
        <v>0</v>
      </c>
      <c r="F42" s="446">
        <f>ROUND(IF(F27=0,0,F31*Коефициенти!F24*1000/F27),2)</f>
        <v>0</v>
      </c>
    </row>
    <row r="43" spans="1:6" ht="16.5" thickBot="1">
      <c r="A43" s="466">
        <v>15</v>
      </c>
      <c r="B43" s="475" t="s">
        <v>193</v>
      </c>
      <c r="C43" s="468" t="s">
        <v>486</v>
      </c>
      <c r="D43" s="476" t="s">
        <v>198</v>
      </c>
      <c r="E43" s="477">
        <f>IF(E24=0,0,ROUND(E31*(1-Коефициенти!E24)*1000/E24,2))</f>
        <v>0</v>
      </c>
      <c r="F43" s="478">
        <f>IF(F24=0,0,ROUND(F31*(1-Коефициенти!F24)*1000/F24,2))</f>
        <v>0</v>
      </c>
    </row>
    <row r="44" spans="1:6" ht="13.5" thickTop="1">
      <c r="A44" s="471"/>
      <c r="B44" s="472" t="s">
        <v>481</v>
      </c>
      <c r="C44" s="473"/>
      <c r="D44" s="474"/>
      <c r="E44" s="409"/>
      <c r="F44" s="455"/>
    </row>
    <row r="45" spans="1:6" ht="15.75">
      <c r="A45" s="383">
        <v>16</v>
      </c>
      <c r="B45" s="358" t="s">
        <v>482</v>
      </c>
      <c r="C45" s="111" t="s">
        <v>743</v>
      </c>
      <c r="D45" s="384" t="s">
        <v>70</v>
      </c>
      <c r="E45" s="385">
        <f>SUM(E46:E47)</f>
        <v>0</v>
      </c>
      <c r="F45" s="447">
        <f>SUM(F46:F47)</f>
        <v>0</v>
      </c>
    </row>
    <row r="46" spans="1:6" ht="15.75">
      <c r="A46" s="383" t="s">
        <v>606</v>
      </c>
      <c r="B46" s="356" t="s">
        <v>20</v>
      </c>
      <c r="C46" s="111" t="s">
        <v>470</v>
      </c>
      <c r="D46" s="384" t="s">
        <v>70</v>
      </c>
      <c r="E46" s="362">
        <f>SUM(E21,-E25)</f>
        <v>0</v>
      </c>
      <c r="F46" s="442">
        <f>SUM(F21,-F25)</f>
        <v>0</v>
      </c>
    </row>
    <row r="47" spans="1:6" ht="15.75">
      <c r="A47" s="383" t="s">
        <v>607</v>
      </c>
      <c r="B47" s="356" t="s">
        <v>222</v>
      </c>
      <c r="C47" s="111" t="s">
        <v>469</v>
      </c>
      <c r="D47" s="384" t="s">
        <v>70</v>
      </c>
      <c r="E47" s="362">
        <f>SUM(E22,-E26)</f>
        <v>0</v>
      </c>
      <c r="F47" s="442">
        <f>SUM(F22,-F26)</f>
        <v>0</v>
      </c>
    </row>
    <row r="48" spans="1:6" ht="12.75">
      <c r="A48" s="383">
        <v>17</v>
      </c>
      <c r="B48" s="371" t="s">
        <v>499</v>
      </c>
      <c r="C48" s="355" t="s">
        <v>471</v>
      </c>
      <c r="D48" s="386" t="s">
        <v>472</v>
      </c>
      <c r="E48" s="357">
        <f>E49*860/7000</f>
        <v>0</v>
      </c>
      <c r="F48" s="437">
        <f>F49*860/7000</f>
        <v>0</v>
      </c>
    </row>
    <row r="49" spans="1:6" ht="15.75">
      <c r="A49" s="366">
        <v>18</v>
      </c>
      <c r="B49" s="371" t="s">
        <v>500</v>
      </c>
      <c r="C49" s="355" t="s">
        <v>732</v>
      </c>
      <c r="D49" s="111" t="s">
        <v>70</v>
      </c>
      <c r="E49" s="360">
        <f>ROUND(SUMPRODUCT(E50:E54,E$75:E$79)/860,3)</f>
        <v>0</v>
      </c>
      <c r="F49" s="440">
        <f>ROUND(SUMPRODUCT(F50:F54,F$75:F$79)/860,3)</f>
        <v>0</v>
      </c>
    </row>
    <row r="50" spans="1:6" ht="12.75">
      <c r="A50" s="366" t="s">
        <v>518</v>
      </c>
      <c r="B50" s="212" t="s">
        <v>9</v>
      </c>
      <c r="C50" s="111" t="s">
        <v>487</v>
      </c>
      <c r="D50" s="115" t="s">
        <v>474</v>
      </c>
      <c r="E50" s="88"/>
      <c r="F50" s="430"/>
    </row>
    <row r="51" spans="1:6" ht="12.75">
      <c r="A51" s="366" t="s">
        <v>519</v>
      </c>
      <c r="B51" s="212" t="s">
        <v>10</v>
      </c>
      <c r="C51" s="111" t="s">
        <v>488</v>
      </c>
      <c r="D51" s="115" t="s">
        <v>23</v>
      </c>
      <c r="E51" s="88"/>
      <c r="F51" s="430"/>
    </row>
    <row r="52" spans="1:6" ht="12.75">
      <c r="A52" s="366" t="s">
        <v>608</v>
      </c>
      <c r="B52" s="212" t="s">
        <v>12</v>
      </c>
      <c r="C52" s="111" t="s">
        <v>490</v>
      </c>
      <c r="D52" s="115" t="s">
        <v>23</v>
      </c>
      <c r="E52" s="88"/>
      <c r="F52" s="430"/>
    </row>
    <row r="53" spans="1:6" ht="12.75">
      <c r="A53" s="366" t="s">
        <v>609</v>
      </c>
      <c r="B53" s="212" t="s">
        <v>11</v>
      </c>
      <c r="C53" s="111" t="s">
        <v>25</v>
      </c>
      <c r="D53" s="115" t="s">
        <v>23</v>
      </c>
      <c r="E53" s="88"/>
      <c r="F53" s="430"/>
    </row>
    <row r="54" spans="1:6" ht="15.75">
      <c r="A54" s="366" t="s">
        <v>610</v>
      </c>
      <c r="B54" s="374" t="s">
        <v>373</v>
      </c>
      <c r="C54" s="111" t="s">
        <v>489</v>
      </c>
      <c r="D54" s="111" t="s">
        <v>435</v>
      </c>
      <c r="E54" s="88"/>
      <c r="F54" s="430"/>
    </row>
    <row r="55" spans="1:6" ht="14.25">
      <c r="A55" s="366">
        <v>19</v>
      </c>
      <c r="B55" s="387">
        <f>B93</f>
        <v>0.6</v>
      </c>
      <c r="C55" s="355" t="s">
        <v>423</v>
      </c>
      <c r="D55" s="355" t="s">
        <v>353</v>
      </c>
      <c r="E55" s="362">
        <f>E50*E$80/860*3.6</f>
        <v>0</v>
      </c>
      <c r="F55" s="442">
        <f>F50*F$80/860*3.6</f>
        <v>0</v>
      </c>
    </row>
    <row r="56" spans="1:6" ht="14.25">
      <c r="A56" s="366">
        <v>20</v>
      </c>
      <c r="B56" s="388">
        <f>B94</f>
        <v>0.6</v>
      </c>
      <c r="C56" s="355" t="s">
        <v>424</v>
      </c>
      <c r="D56" s="355" t="s">
        <v>353</v>
      </c>
      <c r="E56" s="362">
        <f>E53*E$83/860*3.6</f>
        <v>0</v>
      </c>
      <c r="F56" s="442">
        <f>F53*F$83/860*3.6</f>
        <v>0</v>
      </c>
    </row>
    <row r="57" spans="1:6" ht="15.75">
      <c r="A57" s="366">
        <v>21</v>
      </c>
      <c r="B57" s="123" t="s">
        <v>483</v>
      </c>
      <c r="C57" s="111" t="s">
        <v>501</v>
      </c>
      <c r="D57" s="115" t="s">
        <v>7</v>
      </c>
      <c r="E57" s="389">
        <f>IF(E49=0,0,E45/E49)</f>
        <v>0</v>
      </c>
      <c r="F57" s="448">
        <f>IF(F49=0,0,F45/F49)</f>
        <v>0</v>
      </c>
    </row>
    <row r="58" spans="1:6" ht="16.5" thickBot="1">
      <c r="A58" s="466">
        <v>22</v>
      </c>
      <c r="B58" s="480" t="s">
        <v>497</v>
      </c>
      <c r="C58" s="468" t="s">
        <v>502</v>
      </c>
      <c r="D58" s="476" t="s">
        <v>198</v>
      </c>
      <c r="E58" s="477">
        <f>ROUND(IF(E45=0,0,E48*1000/E45),2)</f>
        <v>0</v>
      </c>
      <c r="F58" s="478">
        <f>ROUND(IF(F45=0,0,F48*1000/F45),2)</f>
        <v>0</v>
      </c>
    </row>
    <row r="59" spans="1:6" s="206" customFormat="1" ht="16.5" thickTop="1">
      <c r="A59" s="471"/>
      <c r="B59" s="479" t="s">
        <v>491</v>
      </c>
      <c r="C59" s="473"/>
      <c r="D59" s="474"/>
      <c r="E59" s="409"/>
      <c r="F59" s="455"/>
    </row>
    <row r="60" spans="1:7" s="206" customFormat="1" ht="12.75">
      <c r="A60" s="366">
        <v>23</v>
      </c>
      <c r="B60" s="131" t="s">
        <v>396</v>
      </c>
      <c r="C60" s="111" t="s">
        <v>16</v>
      </c>
      <c r="D60" s="355" t="s">
        <v>70</v>
      </c>
      <c r="E60" s="660">
        <f>SUM(E27,-E64)</f>
        <v>0</v>
      </c>
      <c r="F60" s="661">
        <f>SUM(F27,-F64)</f>
        <v>0</v>
      </c>
      <c r="G60" s="136"/>
    </row>
    <row r="61" spans="1:7" s="206" customFormat="1" ht="12.75">
      <c r="A61" s="366" t="s">
        <v>625</v>
      </c>
      <c r="B61" s="390" t="s">
        <v>395</v>
      </c>
      <c r="C61" s="111" t="s">
        <v>17</v>
      </c>
      <c r="D61" s="355" t="s">
        <v>70</v>
      </c>
      <c r="E61" s="362">
        <f>SUM(E60,-E62)</f>
        <v>0</v>
      </c>
      <c r="F61" s="442">
        <f>SUM(F60,-F62)</f>
        <v>0</v>
      </c>
      <c r="G61" s="136"/>
    </row>
    <row r="62" spans="1:7" s="206" customFormat="1" ht="12.75">
      <c r="A62" s="366" t="s">
        <v>624</v>
      </c>
      <c r="B62" s="390" t="s">
        <v>155</v>
      </c>
      <c r="C62" s="111" t="s">
        <v>18</v>
      </c>
      <c r="D62" s="355" t="s">
        <v>70</v>
      </c>
      <c r="E62" s="88"/>
      <c r="F62" s="88"/>
      <c r="G62" s="136"/>
    </row>
    <row r="63" spans="1:7" s="206" customFormat="1" ht="12.75">
      <c r="A63" s="366" t="s">
        <v>626</v>
      </c>
      <c r="B63" s="391" t="s">
        <v>191</v>
      </c>
      <c r="C63" s="111" t="s">
        <v>16</v>
      </c>
      <c r="D63" s="111" t="s">
        <v>7</v>
      </c>
      <c r="E63" s="380">
        <f>IF(E27=0,0,E60/E27)</f>
        <v>0</v>
      </c>
      <c r="F63" s="445">
        <f>IF(F27=0,0,F60/F27)</f>
        <v>0</v>
      </c>
      <c r="G63" s="136"/>
    </row>
    <row r="64" spans="1:6" ht="15.75">
      <c r="A64" s="366">
        <v>24</v>
      </c>
      <c r="B64" s="392" t="s">
        <v>543</v>
      </c>
      <c r="C64" s="111" t="s">
        <v>19</v>
      </c>
      <c r="D64" s="355" t="s">
        <v>70</v>
      </c>
      <c r="E64" s="393">
        <f>SUM(E65:E67)</f>
        <v>0</v>
      </c>
      <c r="F64" s="449">
        <f>SUM(F65:F67)</f>
        <v>0</v>
      </c>
    </row>
    <row r="65" spans="1:6" ht="15.75">
      <c r="A65" s="366" t="s">
        <v>611</v>
      </c>
      <c r="B65" s="394" t="s">
        <v>493</v>
      </c>
      <c r="C65" s="111"/>
      <c r="D65" s="355" t="s">
        <v>70</v>
      </c>
      <c r="E65" s="88"/>
      <c r="F65" s="430"/>
    </row>
    <row r="66" spans="1:6" ht="15.75">
      <c r="A66" s="366" t="s">
        <v>612</v>
      </c>
      <c r="B66" s="394" t="s">
        <v>494</v>
      </c>
      <c r="C66" s="111"/>
      <c r="D66" s="355" t="s">
        <v>70</v>
      </c>
      <c r="E66" s="88"/>
      <c r="F66" s="430"/>
    </row>
    <row r="67" spans="1:7" s="341" customFormat="1" ht="15.75">
      <c r="A67" s="366" t="s">
        <v>613</v>
      </c>
      <c r="B67" s="395" t="s">
        <v>544</v>
      </c>
      <c r="C67" s="111"/>
      <c r="D67" s="355" t="s">
        <v>70</v>
      </c>
      <c r="E67" s="88"/>
      <c r="F67" s="430"/>
      <c r="G67" s="136"/>
    </row>
    <row r="68" spans="1:6" ht="15.75">
      <c r="A68" s="366">
        <v>25</v>
      </c>
      <c r="B68" s="396" t="s">
        <v>495</v>
      </c>
      <c r="C68" s="355" t="s">
        <v>422</v>
      </c>
      <c r="D68" s="355" t="s">
        <v>378</v>
      </c>
      <c r="E68" s="357">
        <f>E69*860/7000</f>
        <v>0</v>
      </c>
      <c r="F68" s="437">
        <f>F69*860/7000</f>
        <v>0</v>
      </c>
    </row>
    <row r="69" spans="1:6" ht="15.75">
      <c r="A69" s="366">
        <v>26</v>
      </c>
      <c r="B69" s="371" t="s">
        <v>503</v>
      </c>
      <c r="C69" s="355" t="s">
        <v>421</v>
      </c>
      <c r="D69" s="111" t="s">
        <v>70</v>
      </c>
      <c r="E69" s="357">
        <f>SUMPRODUCT(E70:E74,E75:E79)/860</f>
        <v>0</v>
      </c>
      <c r="F69" s="437">
        <f>SUMPRODUCT(F70:F74,F75:F79)/860</f>
        <v>0</v>
      </c>
    </row>
    <row r="70" spans="1:6" ht="15.75">
      <c r="A70" s="366" t="s">
        <v>614</v>
      </c>
      <c r="B70" s="397" t="s">
        <v>9</v>
      </c>
      <c r="C70" s="111" t="s">
        <v>21</v>
      </c>
      <c r="D70" s="111" t="s">
        <v>376</v>
      </c>
      <c r="E70" s="398">
        <f aca="true" t="shared" si="1" ref="E70:F74">SUM(E33,E50)</f>
        <v>0</v>
      </c>
      <c r="F70" s="450">
        <f t="shared" si="1"/>
        <v>0</v>
      </c>
    </row>
    <row r="71" spans="1:6" ht="15">
      <c r="A71" s="366" t="s">
        <v>615</v>
      </c>
      <c r="B71" s="397" t="s">
        <v>10</v>
      </c>
      <c r="C71" s="111" t="s">
        <v>22</v>
      </c>
      <c r="D71" s="111" t="s">
        <v>23</v>
      </c>
      <c r="E71" s="398">
        <f t="shared" si="1"/>
        <v>0</v>
      </c>
      <c r="F71" s="450">
        <f t="shared" si="1"/>
        <v>0</v>
      </c>
    </row>
    <row r="72" spans="1:6" ht="15">
      <c r="A72" s="366" t="s">
        <v>616</v>
      </c>
      <c r="B72" s="397" t="s">
        <v>12</v>
      </c>
      <c r="C72" s="111" t="s">
        <v>24</v>
      </c>
      <c r="D72" s="111" t="s">
        <v>23</v>
      </c>
      <c r="E72" s="398">
        <f t="shared" si="1"/>
        <v>0</v>
      </c>
      <c r="F72" s="450">
        <f t="shared" si="1"/>
        <v>0</v>
      </c>
    </row>
    <row r="73" spans="1:6" ht="15">
      <c r="A73" s="366" t="s">
        <v>617</v>
      </c>
      <c r="B73" s="397" t="s">
        <v>11</v>
      </c>
      <c r="C73" s="111" t="s">
        <v>25</v>
      </c>
      <c r="D73" s="111" t="s">
        <v>23</v>
      </c>
      <c r="E73" s="398">
        <f t="shared" si="1"/>
        <v>0</v>
      </c>
      <c r="F73" s="450">
        <f t="shared" si="1"/>
        <v>0</v>
      </c>
    </row>
    <row r="74" spans="1:6" ht="15.75">
      <c r="A74" s="366" t="s">
        <v>618</v>
      </c>
      <c r="B74" s="432" t="s">
        <v>373</v>
      </c>
      <c r="C74" s="111" t="s">
        <v>419</v>
      </c>
      <c r="D74" s="111" t="s">
        <v>435</v>
      </c>
      <c r="E74" s="398">
        <f t="shared" si="1"/>
        <v>0</v>
      </c>
      <c r="F74" s="450">
        <f t="shared" si="1"/>
        <v>0</v>
      </c>
    </row>
    <row r="75" spans="1:6" ht="15.75">
      <c r="A75" s="366" t="s">
        <v>619</v>
      </c>
      <c r="B75" s="399" t="s">
        <v>430</v>
      </c>
      <c r="C75" s="111" t="s">
        <v>744</v>
      </c>
      <c r="D75" s="111" t="s">
        <v>377</v>
      </c>
      <c r="E75" s="429"/>
      <c r="F75" s="451"/>
    </row>
    <row r="76" spans="1:6" ht="15.75">
      <c r="A76" s="366" t="s">
        <v>620</v>
      </c>
      <c r="B76" s="400" t="s">
        <v>10</v>
      </c>
      <c r="C76" s="111" t="s">
        <v>745</v>
      </c>
      <c r="D76" s="111" t="s">
        <v>28</v>
      </c>
      <c r="E76" s="429"/>
      <c r="F76" s="451"/>
    </row>
    <row r="77" spans="1:6" ht="15.75">
      <c r="A77" s="366" t="s">
        <v>621</v>
      </c>
      <c r="B77" s="400" t="s">
        <v>12</v>
      </c>
      <c r="C77" s="111" t="s">
        <v>746</v>
      </c>
      <c r="D77" s="111" t="s">
        <v>28</v>
      </c>
      <c r="E77" s="429"/>
      <c r="F77" s="451"/>
    </row>
    <row r="78" spans="1:6" ht="15.75">
      <c r="A78" s="366" t="s">
        <v>622</v>
      </c>
      <c r="B78" s="400" t="s">
        <v>11</v>
      </c>
      <c r="C78" s="111" t="s">
        <v>747</v>
      </c>
      <c r="D78" s="111" t="s">
        <v>28</v>
      </c>
      <c r="E78" s="429"/>
      <c r="F78" s="451"/>
    </row>
    <row r="79" spans="1:6" ht="15.75">
      <c r="A79" s="366" t="s">
        <v>623</v>
      </c>
      <c r="B79" s="432" t="s">
        <v>373</v>
      </c>
      <c r="C79" s="111" t="s">
        <v>748</v>
      </c>
      <c r="D79" s="401" t="s">
        <v>437</v>
      </c>
      <c r="E79" s="429"/>
      <c r="F79" s="451"/>
    </row>
    <row r="80" spans="1:6" ht="15.75">
      <c r="A80" s="366" t="s">
        <v>628</v>
      </c>
      <c r="B80" s="399" t="s">
        <v>429</v>
      </c>
      <c r="C80" s="111" t="s">
        <v>26</v>
      </c>
      <c r="D80" s="111" t="s">
        <v>377</v>
      </c>
      <c r="E80" s="429"/>
      <c r="F80" s="451"/>
    </row>
    <row r="81" spans="1:6" ht="15.75">
      <c r="A81" s="366" t="s">
        <v>629</v>
      </c>
      <c r="B81" s="400" t="s">
        <v>10</v>
      </c>
      <c r="C81" s="111" t="s">
        <v>27</v>
      </c>
      <c r="D81" s="111" t="s">
        <v>28</v>
      </c>
      <c r="E81" s="429"/>
      <c r="F81" s="451"/>
    </row>
    <row r="82" spans="1:6" ht="15.75">
      <c r="A82" s="366" t="s">
        <v>630</v>
      </c>
      <c r="B82" s="400" t="s">
        <v>12</v>
      </c>
      <c r="C82" s="111" t="s">
        <v>29</v>
      </c>
      <c r="D82" s="111" t="s">
        <v>28</v>
      </c>
      <c r="E82" s="429"/>
      <c r="F82" s="451"/>
    </row>
    <row r="83" spans="1:6" ht="15.75">
      <c r="A83" s="366" t="s">
        <v>631</v>
      </c>
      <c r="B83" s="402" t="s">
        <v>11</v>
      </c>
      <c r="C83" s="111" t="s">
        <v>30</v>
      </c>
      <c r="D83" s="111" t="s">
        <v>28</v>
      </c>
      <c r="E83" s="429"/>
      <c r="F83" s="451"/>
    </row>
    <row r="84" spans="1:6" ht="15.75">
      <c r="A84" s="366" t="s">
        <v>632</v>
      </c>
      <c r="B84" s="400" t="str">
        <f>$B$79</f>
        <v>друг вид гориво (ВЕИ)</v>
      </c>
      <c r="C84" s="111" t="s">
        <v>374</v>
      </c>
      <c r="D84" s="111" t="s">
        <v>420</v>
      </c>
      <c r="E84" s="429"/>
      <c r="F84" s="451"/>
    </row>
    <row r="85" spans="1:6" ht="15.75">
      <c r="A85" s="366">
        <v>29</v>
      </c>
      <c r="B85" s="403" t="s">
        <v>427</v>
      </c>
      <c r="C85" s="401" t="s">
        <v>352</v>
      </c>
      <c r="D85" s="111" t="s">
        <v>379</v>
      </c>
      <c r="E85" s="398">
        <f>IF(E69=0,0,SUMPRODUCT(E70:E74,E86:E90)/E69)</f>
        <v>0</v>
      </c>
      <c r="F85" s="450">
        <f>IF(F69=0,0,SUMPRODUCT(F70:F74,F86:F90)/F69)</f>
        <v>0</v>
      </c>
    </row>
    <row r="86" spans="1:6" ht="15.75">
      <c r="A86" s="366" t="s">
        <v>633</v>
      </c>
      <c r="B86" s="400" t="s">
        <v>351</v>
      </c>
      <c r="C86" s="401" t="s">
        <v>31</v>
      </c>
      <c r="D86" s="111" t="s">
        <v>380</v>
      </c>
      <c r="E86" s="431"/>
      <c r="F86" s="452"/>
    </row>
    <row r="87" spans="1:6" ht="15.75">
      <c r="A87" s="366" t="s">
        <v>634</v>
      </c>
      <c r="B87" s="400" t="s">
        <v>10</v>
      </c>
      <c r="C87" s="401" t="s">
        <v>32</v>
      </c>
      <c r="D87" s="111" t="s">
        <v>381</v>
      </c>
      <c r="E87" s="431"/>
      <c r="F87" s="452"/>
    </row>
    <row r="88" spans="1:6" ht="15.75">
      <c r="A88" s="366" t="s">
        <v>635</v>
      </c>
      <c r="B88" s="400" t="s">
        <v>12</v>
      </c>
      <c r="C88" s="401" t="s">
        <v>33</v>
      </c>
      <c r="D88" s="111" t="s">
        <v>381</v>
      </c>
      <c r="E88" s="431"/>
      <c r="F88" s="452"/>
    </row>
    <row r="89" spans="1:6" ht="15.75">
      <c r="A89" s="366" t="s">
        <v>636</v>
      </c>
      <c r="B89" s="400" t="s">
        <v>11</v>
      </c>
      <c r="C89" s="401" t="s">
        <v>34</v>
      </c>
      <c r="D89" s="111" t="s">
        <v>381</v>
      </c>
      <c r="E89" s="431"/>
      <c r="F89" s="452"/>
    </row>
    <row r="90" spans="1:6" ht="15.75">
      <c r="A90" s="366" t="s">
        <v>637</v>
      </c>
      <c r="B90" s="400" t="str">
        <f>$B$79</f>
        <v>друг вид гориво (ВЕИ)</v>
      </c>
      <c r="C90" s="401" t="s">
        <v>375</v>
      </c>
      <c r="D90" s="401" t="s">
        <v>436</v>
      </c>
      <c r="E90" s="431"/>
      <c r="F90" s="452"/>
    </row>
    <row r="91" spans="1:6" ht="15.75">
      <c r="A91" s="366">
        <v>30</v>
      </c>
      <c r="B91" s="399" t="s">
        <v>541</v>
      </c>
      <c r="C91" s="111" t="s">
        <v>321</v>
      </c>
      <c r="D91" s="111" t="s">
        <v>35</v>
      </c>
      <c r="E91" s="404">
        <f>IF(E64=0,0,E27*E42/E64)</f>
        <v>0</v>
      </c>
      <c r="F91" s="453">
        <f>IF(F64=0,0,F27*F42/F64)</f>
        <v>0</v>
      </c>
    </row>
    <row r="92" spans="1:6" ht="15.75">
      <c r="A92" s="366">
        <v>31</v>
      </c>
      <c r="B92" s="405" t="s">
        <v>193</v>
      </c>
      <c r="C92" s="111" t="s">
        <v>322</v>
      </c>
      <c r="D92" s="111" t="s">
        <v>198</v>
      </c>
      <c r="E92" s="406">
        <f>IF(E8=0,0,SUM(E68,-E27*E42/1000)/E8*1000)</f>
        <v>0</v>
      </c>
      <c r="F92" s="454">
        <f>IF(F8=0,0,SUM(F68,-F27*F42/1000)/F8*1000)</f>
        <v>0</v>
      </c>
    </row>
    <row r="93" spans="1:6" ht="14.25">
      <c r="A93" s="366">
        <v>32</v>
      </c>
      <c r="B93" s="433">
        <v>0.6</v>
      </c>
      <c r="C93" s="355" t="s">
        <v>423</v>
      </c>
      <c r="D93" s="355" t="s">
        <v>353</v>
      </c>
      <c r="E93" s="362">
        <f>SUM(E38,E55)</f>
        <v>0</v>
      </c>
      <c r="F93" s="442">
        <f>SUM(F38,F55)</f>
        <v>0</v>
      </c>
    </row>
    <row r="94" spans="1:6" ht="14.25">
      <c r="A94" s="366">
        <v>33</v>
      </c>
      <c r="B94" s="434">
        <v>0.6</v>
      </c>
      <c r="C94" s="355" t="s">
        <v>424</v>
      </c>
      <c r="D94" s="355" t="s">
        <v>353</v>
      </c>
      <c r="E94" s="124">
        <f>SUM(E39,E56)</f>
        <v>0</v>
      </c>
      <c r="F94" s="442">
        <f>IF(F$49=0,0,SUM(F53*F83,F36*F83*(F51*F76/(F$49)))*0.86/3600000)</f>
        <v>0</v>
      </c>
    </row>
    <row r="95" spans="1:6" ht="18.75">
      <c r="A95" s="366">
        <v>34</v>
      </c>
      <c r="B95" s="399" t="s">
        <v>725</v>
      </c>
      <c r="C95" s="111"/>
      <c r="D95" s="111" t="s">
        <v>23</v>
      </c>
      <c r="E95" s="90"/>
      <c r="F95" s="452"/>
    </row>
    <row r="96" spans="1:6" ht="18.75">
      <c r="A96" s="366" t="s">
        <v>638</v>
      </c>
      <c r="B96" s="399" t="s">
        <v>726</v>
      </c>
      <c r="C96" s="111"/>
      <c r="D96" s="111" t="s">
        <v>23</v>
      </c>
      <c r="E96" s="398">
        <f>SUM(E95,-E97)</f>
        <v>0</v>
      </c>
      <c r="F96" s="450">
        <f>SUM(F95,-F97)</f>
        <v>0</v>
      </c>
    </row>
    <row r="97" spans="1:6" ht="18.75">
      <c r="A97" s="366" t="s">
        <v>639</v>
      </c>
      <c r="B97" s="399" t="s">
        <v>727</v>
      </c>
      <c r="C97" s="111"/>
      <c r="D97" s="111" t="s">
        <v>23</v>
      </c>
      <c r="E97" s="90"/>
      <c r="F97" s="452"/>
    </row>
    <row r="98" spans="1:6" ht="15.75">
      <c r="A98" s="366" t="s">
        <v>640</v>
      </c>
      <c r="B98" s="399" t="s">
        <v>426</v>
      </c>
      <c r="C98" s="111"/>
      <c r="D98" s="111" t="s">
        <v>23</v>
      </c>
      <c r="E98" s="90"/>
      <c r="F98" s="452"/>
    </row>
    <row r="99" spans="1:6" ht="15.75">
      <c r="A99" s="366" t="s">
        <v>641</v>
      </c>
      <c r="B99" s="399" t="s">
        <v>506</v>
      </c>
      <c r="C99" s="111"/>
      <c r="D99" s="111" t="s">
        <v>23</v>
      </c>
      <c r="E99" s="90"/>
      <c r="F99" s="452"/>
    </row>
    <row r="100" spans="1:6" ht="15.75">
      <c r="A100" s="366">
        <v>35</v>
      </c>
      <c r="B100" s="399" t="s">
        <v>507</v>
      </c>
      <c r="C100" s="111" t="s">
        <v>425</v>
      </c>
      <c r="D100" s="111" t="s">
        <v>381</v>
      </c>
      <c r="E100" s="90"/>
      <c r="F100" s="452"/>
    </row>
    <row r="101" spans="1:6" ht="15.75">
      <c r="A101" s="366">
        <v>36</v>
      </c>
      <c r="B101" s="399" t="s">
        <v>757</v>
      </c>
      <c r="C101" s="111" t="s">
        <v>425</v>
      </c>
      <c r="D101" s="111" t="s">
        <v>381</v>
      </c>
      <c r="E101" s="90"/>
      <c r="F101" s="452"/>
    </row>
    <row r="102" spans="1:6" ht="15.75">
      <c r="A102" s="407">
        <v>37</v>
      </c>
      <c r="B102" s="583" t="s">
        <v>97</v>
      </c>
      <c r="C102" s="408" t="s">
        <v>225</v>
      </c>
      <c r="D102" s="408" t="s">
        <v>164</v>
      </c>
      <c r="E102" s="409">
        <f>SUM(E103:E104)</f>
        <v>0</v>
      </c>
      <c r="F102" s="455">
        <f>SUM(F103:F104)</f>
        <v>0</v>
      </c>
    </row>
    <row r="103" spans="1:6" ht="15.75">
      <c r="A103" s="366" t="s">
        <v>642</v>
      </c>
      <c r="B103" s="400" t="s">
        <v>20</v>
      </c>
      <c r="C103" s="111" t="s">
        <v>226</v>
      </c>
      <c r="D103" s="111" t="s">
        <v>164</v>
      </c>
      <c r="E103" s="88"/>
      <c r="F103" s="430"/>
    </row>
    <row r="104" spans="1:6" ht="15.75">
      <c r="A104" s="366" t="s">
        <v>643</v>
      </c>
      <c r="B104" s="400" t="s">
        <v>222</v>
      </c>
      <c r="C104" s="111" t="s">
        <v>227</v>
      </c>
      <c r="D104" s="111" t="s">
        <v>164</v>
      </c>
      <c r="E104" s="88"/>
      <c r="F104" s="430"/>
    </row>
    <row r="105" spans="1:6" ht="15.75">
      <c r="A105" s="366">
        <v>38</v>
      </c>
      <c r="B105" s="584" t="s">
        <v>737</v>
      </c>
      <c r="C105" s="111" t="s">
        <v>229</v>
      </c>
      <c r="D105" s="410" t="s">
        <v>339</v>
      </c>
      <c r="E105" s="411">
        <f>SUM(E106:E107)</f>
        <v>0</v>
      </c>
      <c r="F105" s="456">
        <f>SUM(F106:F107)</f>
        <v>0</v>
      </c>
    </row>
    <row r="106" spans="1:6" ht="15.75">
      <c r="A106" s="366" t="s">
        <v>644</v>
      </c>
      <c r="B106" s="585" t="s">
        <v>248</v>
      </c>
      <c r="C106" s="111"/>
      <c r="D106" s="410" t="s">
        <v>339</v>
      </c>
      <c r="E106" s="411">
        <f>ROUND(IF(E$27=0,0,РБА!D$69*НВ!$F$21),3)</f>
        <v>0</v>
      </c>
      <c r="F106" s="456">
        <f>ROUND(IF(F$27=0,0,РБА!G69*НВ!G21),3)</f>
        <v>0</v>
      </c>
    </row>
    <row r="107" spans="1:6" ht="15.75">
      <c r="A107" s="366" t="s">
        <v>645</v>
      </c>
      <c r="B107" s="585" t="s">
        <v>247</v>
      </c>
      <c r="C107" s="177"/>
      <c r="D107" s="410" t="s">
        <v>339</v>
      </c>
      <c r="E107" s="411">
        <f>SUM(E108:E109)</f>
        <v>0</v>
      </c>
      <c r="F107" s="456">
        <f>SUM(F108:F109)</f>
        <v>0</v>
      </c>
    </row>
    <row r="108" spans="1:6" ht="15.75">
      <c r="A108" s="366" t="s">
        <v>646</v>
      </c>
      <c r="B108" s="585" t="s">
        <v>246</v>
      </c>
      <c r="C108" s="177"/>
      <c r="D108" s="410" t="s">
        <v>339</v>
      </c>
      <c r="E108" s="411">
        <f>ROUND(IF(E$27=0,0,SUM(Разходи!D$14,Разходи!D$19,SUM(Разходи!D11,-SUM(Разходи!D14:D15,Разходи!D19:D20))*Коефициенти!E27)),3)</f>
        <v>0</v>
      </c>
      <c r="F108" s="456">
        <f>ROUND(IF(F$27=0,0,SUM(Разходи!G$14,Разходи!G$19,SUM(Разходи!G11,-SUM(Разходи!G14:G15,Разходи!G19:G20))*Коефициенти!F27)),3)</f>
        <v>0</v>
      </c>
    </row>
    <row r="109" spans="1:6" ht="15.75">
      <c r="A109" s="366" t="s">
        <v>647</v>
      </c>
      <c r="B109" s="585" t="s">
        <v>245</v>
      </c>
      <c r="C109" s="177"/>
      <c r="D109" s="410" t="s">
        <v>339</v>
      </c>
      <c r="E109" s="846">
        <f>ROUND(IF(E$27=0,0,SUM(Разходи!D$85,SUM(Разходи!D75:D78)*Коефициенти!E27)*(1-E$62/E$27)),3)+E27/Коефициенти!E22*F85/1000</f>
        <v>0</v>
      </c>
      <c r="F109" s="847">
        <f>ROUND(IF(F$27=0,0,SUM(Разходи!G$85,SUM(Разходи!G75:G78)*Коефициенти!F27)*(1-F$62/F$27)),3)+F27/Коефициенти!F22*F85/1000</f>
        <v>0</v>
      </c>
    </row>
    <row r="110" spans="1:6" ht="15.75">
      <c r="A110" s="366">
        <v>39</v>
      </c>
      <c r="B110" s="412" t="s">
        <v>223</v>
      </c>
      <c r="C110" s="111" t="s">
        <v>228</v>
      </c>
      <c r="D110" s="111" t="s">
        <v>379</v>
      </c>
      <c r="E110" s="413">
        <f>IF(E$64=0,0,ROUND(E105/E$64*1000,2))</f>
        <v>0</v>
      </c>
      <c r="F110" s="457">
        <f>IF(F$64=0,0,ROUND(F105/F$64*1000,2))</f>
        <v>0</v>
      </c>
    </row>
    <row r="111" spans="1:6" ht="15.75">
      <c r="A111" s="366">
        <v>40</v>
      </c>
      <c r="B111" s="414" t="s">
        <v>428</v>
      </c>
      <c r="C111" s="111" t="s">
        <v>228</v>
      </c>
      <c r="D111" s="111" t="s">
        <v>379</v>
      </c>
      <c r="E111" s="415">
        <f>ROUND(IF(SUM(E$20,-E$14)=0,0,E112*1000/SUM(E$20,-E$14)),2)</f>
        <v>0</v>
      </c>
      <c r="F111" s="458">
        <f>ROUND(IF(SUM(F$20,-F$14)=0,0,F112*1000/SUM(F$20,-F$14)),2)</f>
        <v>0</v>
      </c>
    </row>
    <row r="112" spans="1:6" ht="15.75">
      <c r="A112" s="366" t="s">
        <v>648</v>
      </c>
      <c r="B112" s="586" t="s">
        <v>158</v>
      </c>
      <c r="C112" s="111" t="s">
        <v>234</v>
      </c>
      <c r="D112" s="410" t="s">
        <v>339</v>
      </c>
      <c r="E112" s="416">
        <f>SUM(Разходи!D8,-E$105)</f>
        <v>0</v>
      </c>
      <c r="F112" s="459">
        <f>SUM(Разходи!G8,-F$105)</f>
        <v>0</v>
      </c>
    </row>
    <row r="113" spans="1:6" ht="15.75">
      <c r="A113" s="366" t="s">
        <v>649</v>
      </c>
      <c r="B113" s="586" t="s">
        <v>738</v>
      </c>
      <c r="C113" s="111"/>
      <c r="D113" s="410" t="s">
        <v>339</v>
      </c>
      <c r="E113" s="417">
        <f>SUM(Разходи!D$9,-E$106)</f>
        <v>0</v>
      </c>
      <c r="F113" s="460">
        <f>SUM(Разходи!G$9,-F$106)</f>
        <v>0</v>
      </c>
    </row>
    <row r="114" spans="1:6" ht="14.25">
      <c r="A114" s="366" t="s">
        <v>650</v>
      </c>
      <c r="B114" s="587" t="s">
        <v>739</v>
      </c>
      <c r="C114" s="177"/>
      <c r="D114" s="410" t="s">
        <v>339</v>
      </c>
      <c r="E114" s="417">
        <f>SUM(Разходи!D$10,-E$107)</f>
        <v>0</v>
      </c>
      <c r="F114" s="460">
        <f>SUM(Разходи!G$10,-F$107)</f>
        <v>0</v>
      </c>
    </row>
    <row r="115" spans="1:6" ht="14.25">
      <c r="A115" s="366" t="s">
        <v>651</v>
      </c>
      <c r="B115" s="587" t="s">
        <v>740</v>
      </c>
      <c r="C115" s="177"/>
      <c r="D115" s="410" t="s">
        <v>339</v>
      </c>
      <c r="E115" s="417">
        <f>SUM(Разходи!D$11,-E$108)</f>
        <v>0</v>
      </c>
      <c r="F115" s="460">
        <f>SUM(Разходи!G$11,-F$108)</f>
        <v>0</v>
      </c>
    </row>
    <row r="116" spans="1:6" ht="15.75">
      <c r="A116" s="366" t="s">
        <v>652</v>
      </c>
      <c r="B116" s="586" t="s">
        <v>741</v>
      </c>
      <c r="C116" s="177"/>
      <c r="D116" s="410" t="s">
        <v>339</v>
      </c>
      <c r="E116" s="417">
        <f>SUM(Разходи!D$61,-E$109)</f>
        <v>0</v>
      </c>
      <c r="F116" s="460">
        <f>SUM(Разходи!G$61,-F$109)</f>
        <v>0</v>
      </c>
    </row>
    <row r="117" spans="1:6" ht="15.75" hidden="1">
      <c r="A117" s="366">
        <v>41</v>
      </c>
      <c r="B117" s="582" t="s">
        <v>316</v>
      </c>
      <c r="C117" s="111"/>
      <c r="D117" s="111" t="s">
        <v>379</v>
      </c>
      <c r="E117" s="588"/>
      <c r="F117" s="589"/>
    </row>
    <row r="118" spans="1:7" s="340" customFormat="1" ht="15.75">
      <c r="A118" s="366">
        <v>41</v>
      </c>
      <c r="B118" s="412" t="s">
        <v>197</v>
      </c>
      <c r="C118" s="148" t="s">
        <v>232</v>
      </c>
      <c r="D118" s="148" t="s">
        <v>379</v>
      </c>
      <c r="E118" s="418">
        <f>SUM(E$110,E$117)</f>
        <v>0</v>
      </c>
      <c r="F118" s="461">
        <f>SUM(F$110,F$117)</f>
        <v>0</v>
      </c>
      <c r="G118" s="136"/>
    </row>
    <row r="119" spans="1:6" ht="15.75">
      <c r="A119" s="366">
        <v>42</v>
      </c>
      <c r="B119" s="419">
        <v>2008</v>
      </c>
      <c r="C119" s="111" t="s">
        <v>231</v>
      </c>
      <c r="D119" s="111" t="s">
        <v>379</v>
      </c>
      <c r="E119" s="420">
        <f>IF(B119&lt;2004,E110,E118)</f>
        <v>0</v>
      </c>
      <c r="F119" s="462">
        <f>IF(C119&lt;2004,F110,F118)</f>
        <v>0</v>
      </c>
    </row>
    <row r="120" spans="1:6" ht="15.75">
      <c r="A120" s="366">
        <v>43</v>
      </c>
      <c r="B120" s="399" t="s">
        <v>315</v>
      </c>
      <c r="C120" s="111" t="s">
        <v>230</v>
      </c>
      <c r="D120" s="111" t="s">
        <v>379</v>
      </c>
      <c r="E120" s="398">
        <f>E110</f>
        <v>0</v>
      </c>
      <c r="F120" s="450">
        <f>F110</f>
        <v>0</v>
      </c>
    </row>
    <row r="121" spans="1:6" ht="15.75">
      <c r="A121" s="366">
        <v>44</v>
      </c>
      <c r="B121" s="399" t="s">
        <v>157</v>
      </c>
      <c r="C121" s="111" t="s">
        <v>233</v>
      </c>
      <c r="D121" s="410" t="s">
        <v>339</v>
      </c>
      <c r="E121" s="421">
        <f>SUMPRODUCT(E65:E67,E118:E120)/1000</f>
        <v>0</v>
      </c>
      <c r="F121" s="460">
        <f>SUMPRODUCT(F65:F67,F118:F120)/1000</f>
        <v>0</v>
      </c>
    </row>
    <row r="122" spans="1:6" ht="15.75">
      <c r="A122" s="215">
        <v>45</v>
      </c>
      <c r="B122" s="463" t="s">
        <v>545</v>
      </c>
      <c r="C122" s="111" t="s">
        <v>234</v>
      </c>
      <c r="D122" s="410" t="s">
        <v>339</v>
      </c>
      <c r="E122" s="421">
        <f>SUM(Разходи!D$8,-E$121)</f>
        <v>0</v>
      </c>
      <c r="F122" s="460">
        <f>SUM(Разходи!G$8,-F$121)</f>
        <v>0</v>
      </c>
    </row>
    <row r="123" spans="1:6" ht="15.75">
      <c r="A123" s="366">
        <v>46</v>
      </c>
      <c r="B123" s="579" t="s">
        <v>196</v>
      </c>
      <c r="C123" s="422" t="s">
        <v>159</v>
      </c>
      <c r="D123" s="111" t="s">
        <v>379</v>
      </c>
      <c r="E123" s="423">
        <f>IF(E8=0,0,ROUND(E122/E8*1000,2))</f>
        <v>0</v>
      </c>
      <c r="F123" s="464">
        <f>IF(F8=0,0,ROUND(F122/F8*1000,2))</f>
        <v>0</v>
      </c>
    </row>
    <row r="124" spans="1:6" ht="15.75">
      <c r="A124" s="366">
        <v>47</v>
      </c>
      <c r="B124" s="580" t="s">
        <v>194</v>
      </c>
      <c r="C124" s="424" t="s">
        <v>87</v>
      </c>
      <c r="D124" s="408" t="s">
        <v>379</v>
      </c>
      <c r="E124" s="425">
        <f>IF(E9=0,0,SUM(IF(E8=0,0,IF(Разходи!D8=0,0,E122/Разходи!D8*Разходи!D61)/E8*1000)*E9,IF(E102=0,0,SUM(E122,-IF(Разходи!D8=0,0,E122/Разходи!D8*Разходи!D61))/E102*E103*1000/E9)*E9)/E9)</f>
        <v>0</v>
      </c>
      <c r="F124" s="465">
        <f>IF(F9=0,0,SUM(IF(F8=0,0,IF(Разходи!G8=0,0,F122/Разходи!G8*Разходи!G61)/F8*1000)*F9,IF(F102=0,0,SUM(F122,-IF(Разходи!G8=0,0,F122/Разходи!G8*Разходи!G61))/F102*F103*1000/F9)*F9)/F9)</f>
        <v>0</v>
      </c>
    </row>
    <row r="125" spans="1:6" ht="16.5" thickBot="1">
      <c r="A125" s="466">
        <v>48</v>
      </c>
      <c r="B125" s="581" t="s">
        <v>195</v>
      </c>
      <c r="C125" s="467" t="s">
        <v>168</v>
      </c>
      <c r="D125" s="468" t="s">
        <v>379</v>
      </c>
      <c r="E125" s="469">
        <f>IF(E10=0,0,SUM(IF(E8=0,0,IF(Разходи!D8=0,0,E122/Разходи!D8*Разходи!D61)/E8*1000)*E10,IF(E102=0,0,SUM(E122,-IF(Разходи!D8=0,0,E122/Разходи!D8*Разходи!D61))/E102*E104*1000/E10)*E10)/E10)</f>
        <v>0</v>
      </c>
      <c r="F125" s="470">
        <f>IF(F10=0,0,SUM(IF(F8=0,0,IF(Разходи!G8=0,0,F122/Разходи!G8*Разходи!G61)/F8*1000)*F10,IF(F102=0,0,SUM(F122,-IF(Разходи!G8=0,0,F122/Разходи!G8*Разходи!G61))/F102*F104*1000/F10)*F10)/F10)</f>
        <v>0</v>
      </c>
    </row>
    <row r="126" ht="13.5" thickTop="1"/>
    <row r="127" ht="13.5" thickBot="1"/>
    <row r="128" spans="1:6" ht="32.25" customHeight="1" thickTop="1">
      <c r="A128" s="762" t="s">
        <v>0</v>
      </c>
      <c r="B128" s="766">
        <f>B5</f>
        <v>7.2019</v>
      </c>
      <c r="C128" s="758" t="s">
        <v>42</v>
      </c>
      <c r="D128" s="760" t="s">
        <v>14</v>
      </c>
      <c r="E128" s="345" t="s">
        <v>336</v>
      </c>
      <c r="F128" s="346" t="s">
        <v>337</v>
      </c>
    </row>
    <row r="129" spans="1:6" ht="15.75">
      <c r="A129" s="763"/>
      <c r="B129" s="767"/>
      <c r="C129" s="759"/>
      <c r="D129" s="761"/>
      <c r="E129" s="347">
        <f>($B$5-7.0001)*10000</f>
        <v>2018.0000000000043</v>
      </c>
      <c r="F129" s="531">
        <f>$B$5</f>
        <v>7.2019</v>
      </c>
    </row>
    <row r="130" spans="1:6" ht="12.75">
      <c r="A130" s="348">
        <v>1</v>
      </c>
      <c r="B130" s="349">
        <v>2</v>
      </c>
      <c r="C130" s="350">
        <v>3</v>
      </c>
      <c r="D130" s="350">
        <v>4</v>
      </c>
      <c r="E130" s="351">
        <v>5</v>
      </c>
      <c r="F130" s="532">
        <v>6</v>
      </c>
    </row>
    <row r="131" spans="1:6" ht="15">
      <c r="A131" s="592">
        <v>1</v>
      </c>
      <c r="B131" s="590" t="s">
        <v>716</v>
      </c>
      <c r="C131" s="123"/>
      <c r="D131" s="330" t="s">
        <v>714</v>
      </c>
      <c r="E131" s="309">
        <f>SUM(E133,-E132)</f>
        <v>0</v>
      </c>
      <c r="F131" s="593">
        <f>SUM(F133,-F132)</f>
        <v>0</v>
      </c>
    </row>
    <row r="132" spans="1:6" ht="15">
      <c r="A132" s="592">
        <v>2</v>
      </c>
      <c r="B132" s="590" t="s">
        <v>718</v>
      </c>
      <c r="C132" s="123"/>
      <c r="D132" s="330" t="s">
        <v>714</v>
      </c>
      <c r="E132" s="306"/>
      <c r="F132" s="555"/>
    </row>
    <row r="133" spans="1:6" ht="16.5" thickBot="1">
      <c r="A133" s="594">
        <v>3</v>
      </c>
      <c r="B133" s="595" t="s">
        <v>717</v>
      </c>
      <c r="C133" s="480"/>
      <c r="D133" s="556" t="s">
        <v>714</v>
      </c>
      <c r="E133" s="596"/>
      <c r="F133" s="597"/>
    </row>
    <row r="134" spans="1:5" ht="14.25" thickTop="1">
      <c r="A134" s="551"/>
      <c r="B134" s="577"/>
      <c r="C134" s="553"/>
      <c r="D134" s="553"/>
      <c r="E134" s="553"/>
    </row>
    <row r="135" spans="1:5" ht="13.5">
      <c r="A135" s="551"/>
      <c r="B135" s="577"/>
      <c r="C135" s="553"/>
      <c r="D135" s="553"/>
      <c r="E135" s="553"/>
    </row>
    <row r="136" spans="1:5" ht="13.5">
      <c r="A136" s="551"/>
      <c r="B136" s="577"/>
      <c r="C136" s="553"/>
      <c r="D136" s="553"/>
      <c r="E136" s="553"/>
    </row>
    <row r="137" ht="12.75">
      <c r="F137" s="426"/>
    </row>
    <row r="138" spans="1:6" ht="15.75">
      <c r="A138" s="110" t="str">
        <f>Разходи!$A$91</f>
        <v>Гл. счетоводител:</v>
      </c>
      <c r="B138" s="427"/>
      <c r="C138" s="428" t="str">
        <f>Разходи!$E$91</f>
        <v>Изп. директор:</v>
      </c>
      <c r="D138" s="428"/>
      <c r="E138" s="206"/>
      <c r="F138" s="206"/>
    </row>
    <row r="139" spans="2:6" ht="12.75">
      <c r="B139" s="206" t="str">
        <f>Разходи!$B$93</f>
        <v>/ Xxx                  /</v>
      </c>
      <c r="C139" s="428"/>
      <c r="D139" s="755" t="str">
        <f>Разходи!$F$93</f>
        <v>/ Xxxxxx                  /</v>
      </c>
      <c r="E139" s="755"/>
      <c r="F139" s="755"/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/>
    <row r="488" ht="12.75"/>
    <row r="489" ht="12.75"/>
    <row r="490" ht="12.75"/>
    <row r="491" ht="12.75"/>
    <row r="492" ht="12.75"/>
  </sheetData>
  <sheetProtection/>
  <mergeCells count="11">
    <mergeCell ref="D128:D129"/>
    <mergeCell ref="D139:F139"/>
    <mergeCell ref="B1:C1"/>
    <mergeCell ref="B2:C2"/>
    <mergeCell ref="C5:C6"/>
    <mergeCell ref="D5:D6"/>
    <mergeCell ref="A5:A6"/>
    <mergeCell ref="B5:B6"/>
    <mergeCell ref="A128:A129"/>
    <mergeCell ref="B128:B129"/>
    <mergeCell ref="C128:C129"/>
  </mergeCells>
  <dataValidations count="1">
    <dataValidation type="whole" operator="lessThanOrEqual" allowBlank="1" showInputMessage="1" showErrorMessage="1" sqref="E28:F28">
      <formula1>E29</formula1>
    </dataValidation>
  </dataValidations>
  <printOptions horizontalCentered="1"/>
  <pageMargins left="0.35433070866141736" right="0.35433070866141736" top="0.7874015748031497" bottom="0.31496062992125984" header="0" footer="0"/>
  <pageSetup blackAndWhite="1" horizontalDpi="600" verticalDpi="600" orientation="portrait" paperSize="9" scale="55" r:id="rId1"/>
  <rowBreaks count="1" manualBreakCount="1">
    <brk id="92" max="255" man="1"/>
  </rowBreaks>
  <ignoredErrors>
    <ignoredError sqref="E29 F29 E18:E19 F19 E17:F17 F18 E21:F21 E22:F22 E60:F60" unlockedFormula="1"/>
    <ignoredError sqref="E24:F24 E69 F69" formulaRange="1"/>
    <ignoredError sqref="E106:F10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0" defaultRowHeight="12.75" zeroHeight="1"/>
  <cols>
    <col min="1" max="1" width="4.421875" style="292" customWidth="1"/>
    <col min="2" max="2" width="59.00390625" style="292" customWidth="1"/>
    <col min="3" max="3" width="7.57421875" style="292" bestFit="1" customWidth="1"/>
    <col min="4" max="4" width="10.57421875" style="292" customWidth="1"/>
    <col min="5" max="5" width="12.8515625" style="292" customWidth="1"/>
    <col min="6" max="6" width="9.140625" style="292" customWidth="1"/>
    <col min="7" max="16384" width="0" style="292" hidden="1" customWidth="1"/>
  </cols>
  <sheetData>
    <row r="1" spans="1:5" ht="18.75">
      <c r="A1" s="290"/>
      <c r="B1" s="768">
        <v>5</v>
      </c>
      <c r="C1" s="768"/>
      <c r="D1" s="291"/>
      <c r="E1" s="137" t="s">
        <v>687</v>
      </c>
    </row>
    <row r="2" spans="1:5" ht="15.75">
      <c r="A2" s="293"/>
      <c r="B2" s="769" t="s">
        <v>203</v>
      </c>
      <c r="C2" s="769"/>
      <c r="D2" s="293"/>
      <c r="E2" s="293"/>
    </row>
    <row r="3" spans="1:5" ht="12.75">
      <c r="A3" s="294"/>
      <c r="B3" s="770" t="str">
        <f>'ТИП-ПРОИЗ'!$B$3:$C$3</f>
        <v>"Топлофикация- ....................." ЕАД</v>
      </c>
      <c r="C3" s="770"/>
      <c r="D3" s="295"/>
      <c r="E3" s="295"/>
    </row>
    <row r="4" spans="1:5" ht="13.5" thickBot="1">
      <c r="A4" s="294"/>
      <c r="B4" s="294"/>
      <c r="C4" s="294"/>
      <c r="D4" s="295"/>
      <c r="E4" s="295"/>
    </row>
    <row r="5" spans="1:5" ht="13.5" thickTop="1">
      <c r="A5" s="780" t="s">
        <v>37</v>
      </c>
      <c r="B5" s="782" t="s">
        <v>332</v>
      </c>
      <c r="C5" s="784" t="s">
        <v>2</v>
      </c>
      <c r="D5" s="296" t="s">
        <v>336</v>
      </c>
      <c r="E5" s="297" t="s">
        <v>337</v>
      </c>
    </row>
    <row r="6" spans="1:5" ht="12.75">
      <c r="A6" s="781"/>
      <c r="B6" s="783"/>
      <c r="C6" s="785"/>
      <c r="D6" s="298">
        <f>'ТИП-ПРОИЗ'!E6</f>
        <v>2018.0000000000043</v>
      </c>
      <c r="E6" s="663">
        <f>'ТИП-ПРОИЗ'!F6</f>
        <v>7.2019</v>
      </c>
    </row>
    <row r="7" spans="1:6" ht="15.75">
      <c r="A7" s="299">
        <v>1</v>
      </c>
      <c r="B7" s="300" t="s">
        <v>387</v>
      </c>
      <c r="C7" s="301" t="s">
        <v>70</v>
      </c>
      <c r="D7" s="302">
        <f>SUM(D8:D9)</f>
        <v>0</v>
      </c>
      <c r="E7" s="534">
        <f>SUM(E8:E9)</f>
        <v>0</v>
      </c>
      <c r="F7" s="303"/>
    </row>
    <row r="8" spans="1:6" ht="12.75">
      <c r="A8" s="304">
        <v>2</v>
      </c>
      <c r="B8" s="305" t="s">
        <v>184</v>
      </c>
      <c r="C8" s="301" t="s">
        <v>70</v>
      </c>
      <c r="D8" s="56"/>
      <c r="E8" s="57"/>
      <c r="F8" s="303"/>
    </row>
    <row r="9" spans="1:6" ht="12.75">
      <c r="A9" s="299">
        <v>3</v>
      </c>
      <c r="B9" s="307" t="s">
        <v>181</v>
      </c>
      <c r="C9" s="301" t="s">
        <v>70</v>
      </c>
      <c r="D9" s="56"/>
      <c r="E9" s="57"/>
      <c r="F9" s="303"/>
    </row>
    <row r="10" spans="1:5" ht="12.75">
      <c r="A10" s="304">
        <v>4</v>
      </c>
      <c r="B10" s="308" t="s">
        <v>180</v>
      </c>
      <c r="C10" s="301" t="s">
        <v>70</v>
      </c>
      <c r="D10" s="58"/>
      <c r="E10" s="535"/>
    </row>
    <row r="11" spans="1:5" ht="12.75">
      <c r="A11" s="299">
        <v>5</v>
      </c>
      <c r="B11" s="308" t="s">
        <v>180</v>
      </c>
      <c r="C11" s="309" t="s">
        <v>7</v>
      </c>
      <c r="D11" s="310">
        <f>IF(D12=0,0,ROUND(D10/D12,4))</f>
        <v>0</v>
      </c>
      <c r="E11" s="324">
        <f>IF(E12=0,0,ROUND(E10/E12,4))</f>
        <v>0</v>
      </c>
    </row>
    <row r="12" spans="1:5" ht="12.75">
      <c r="A12" s="304">
        <v>6</v>
      </c>
      <c r="B12" s="308" t="s">
        <v>38</v>
      </c>
      <c r="C12" s="301" t="s">
        <v>70</v>
      </c>
      <c r="D12" s="311">
        <f>SUM(D7,D10)</f>
        <v>0</v>
      </c>
      <c r="E12" s="536">
        <f>SUM(E7,E10)</f>
        <v>0</v>
      </c>
    </row>
    <row r="13" spans="1:5" ht="13.5">
      <c r="A13" s="299">
        <v>7</v>
      </c>
      <c r="B13" s="312" t="s">
        <v>341</v>
      </c>
      <c r="C13" s="301" t="s">
        <v>339</v>
      </c>
      <c r="D13" s="313">
        <f>D20*D12/1000</f>
        <v>0</v>
      </c>
      <c r="E13" s="314">
        <f>E20*E12/1000</f>
        <v>0</v>
      </c>
    </row>
    <row r="14" spans="1:5" ht="12.75">
      <c r="A14" s="304">
        <v>8</v>
      </c>
      <c r="B14" s="308" t="s">
        <v>533</v>
      </c>
      <c r="C14" s="301" t="s">
        <v>339</v>
      </c>
      <c r="D14" s="313">
        <f>SUM(D15:D16)</f>
        <v>0</v>
      </c>
      <c r="E14" s="314">
        <f>SUM(E15:E16)</f>
        <v>0</v>
      </c>
    </row>
    <row r="15" spans="1:5" ht="12.75">
      <c r="A15" s="299">
        <v>9</v>
      </c>
      <c r="B15" s="308" t="s">
        <v>340</v>
      </c>
      <c r="C15" s="301" t="s">
        <v>339</v>
      </c>
      <c r="D15" s="313">
        <f>Разходи!E9</f>
        <v>0</v>
      </c>
      <c r="E15" s="314">
        <f>Разходи!H9</f>
        <v>0</v>
      </c>
    </row>
    <row r="16" spans="1:5" ht="12.75">
      <c r="A16" s="304">
        <v>10</v>
      </c>
      <c r="B16" s="308" t="s">
        <v>548</v>
      </c>
      <c r="C16" s="301" t="s">
        <v>339</v>
      </c>
      <c r="D16" s="313">
        <f>SUM(D17:D18)</f>
        <v>0</v>
      </c>
      <c r="E16" s="314">
        <f>SUM(E17:E18)</f>
        <v>0</v>
      </c>
    </row>
    <row r="17" spans="1:5" ht="12.75">
      <c r="A17" s="299">
        <v>11</v>
      </c>
      <c r="B17" s="308" t="s">
        <v>342</v>
      </c>
      <c r="C17" s="301" t="s">
        <v>339</v>
      </c>
      <c r="D17" s="313">
        <f>Разходи!E11</f>
        <v>0</v>
      </c>
      <c r="E17" s="314">
        <f>Разходи!H11</f>
        <v>0</v>
      </c>
    </row>
    <row r="18" spans="1:5" ht="12.75">
      <c r="A18" s="304">
        <v>12</v>
      </c>
      <c r="B18" s="308" t="s">
        <v>535</v>
      </c>
      <c r="C18" s="301" t="s">
        <v>339</v>
      </c>
      <c r="D18" s="313">
        <f>Разходи!E61</f>
        <v>0</v>
      </c>
      <c r="E18" s="314">
        <f>Разходи!H61</f>
        <v>0</v>
      </c>
    </row>
    <row r="19" spans="1:5" ht="12.75">
      <c r="A19" s="299">
        <v>13</v>
      </c>
      <c r="B19" s="308" t="s">
        <v>466</v>
      </c>
      <c r="C19" s="301" t="s">
        <v>339</v>
      </c>
      <c r="D19" s="313">
        <f>D10*D20/1000</f>
        <v>0</v>
      </c>
      <c r="E19" s="314">
        <f>E10*E20/1000</f>
        <v>0</v>
      </c>
    </row>
    <row r="20" spans="1:6" ht="13.5">
      <c r="A20" s="304">
        <v>14</v>
      </c>
      <c r="B20" s="315" t="s">
        <v>330</v>
      </c>
      <c r="C20" s="301" t="s">
        <v>199</v>
      </c>
      <c r="D20" s="316">
        <f>'ТИП-ПРОИЗ'!E124</f>
        <v>0</v>
      </c>
      <c r="E20" s="537">
        <f>'ТИП-ПРОИЗ'!F124</f>
        <v>0</v>
      </c>
      <c r="F20" s="303"/>
    </row>
    <row r="21" spans="1:6" ht="12.75">
      <c r="A21" s="299">
        <v>15</v>
      </c>
      <c r="B21" s="317" t="s">
        <v>534</v>
      </c>
      <c r="C21" s="301" t="s">
        <v>199</v>
      </c>
      <c r="D21" s="318">
        <f>IF(D7=0,0,SUM(D14,D19)/D7*1000)</f>
        <v>0</v>
      </c>
      <c r="E21" s="538">
        <f>IF(E7=0,0,SUM(E14,E19)/E7*1000)</f>
        <v>0</v>
      </c>
      <c r="F21" s="303"/>
    </row>
    <row r="22" spans="1:6" ht="12.75">
      <c r="A22" s="304">
        <v>16</v>
      </c>
      <c r="B22" s="317" t="s">
        <v>711</v>
      </c>
      <c r="C22" s="301" t="s">
        <v>199</v>
      </c>
      <c r="D22" s="318">
        <f>IF(D7=0,0,D19/D7*1000)</f>
        <v>0</v>
      </c>
      <c r="E22" s="538">
        <f>IF(E7=0,0,E19/E7*1000)</f>
        <v>0</v>
      </c>
      <c r="F22" s="303"/>
    </row>
    <row r="23" spans="1:5" ht="15.75">
      <c r="A23" s="299">
        <v>17</v>
      </c>
      <c r="B23" s="549" t="s">
        <v>183</v>
      </c>
      <c r="C23" s="301" t="s">
        <v>199</v>
      </c>
      <c r="D23" s="319">
        <f>ROUNDUP(IF(D7=0,0,SUM(D20*D12,D14*1000)/D7),2)</f>
        <v>0</v>
      </c>
      <c r="E23" s="320">
        <f>ROUNDUP(IF(E7=0,0,SUM(E20*E12,E14*1000)/E7),2)</f>
        <v>0</v>
      </c>
    </row>
    <row r="24" spans="1:5" ht="13.5" thickBot="1">
      <c r="A24" s="539">
        <v>18</v>
      </c>
      <c r="B24" s="540" t="s">
        <v>546</v>
      </c>
      <c r="C24" s="541" t="s">
        <v>96</v>
      </c>
      <c r="D24" s="542">
        <f>D23*D7/1000</f>
        <v>0</v>
      </c>
      <c r="E24" s="543">
        <f>E23*E7/1000</f>
        <v>0</v>
      </c>
    </row>
    <row r="25" spans="1:5" ht="13.5" thickTop="1">
      <c r="A25" s="294"/>
      <c r="B25" s="294"/>
      <c r="C25" s="294"/>
      <c r="D25" s="295"/>
      <c r="E25" s="295"/>
    </row>
    <row r="26" spans="1:5" ht="13.5" thickBot="1">
      <c r="A26" s="294"/>
      <c r="B26" s="294"/>
      <c r="C26" s="294"/>
      <c r="D26" s="295"/>
      <c r="E26" s="295"/>
    </row>
    <row r="27" spans="1:5" ht="13.5" customHeight="1" thickTop="1">
      <c r="A27" s="774" t="s">
        <v>37</v>
      </c>
      <c r="B27" s="772" t="s">
        <v>331</v>
      </c>
      <c r="C27" s="776" t="s">
        <v>2</v>
      </c>
      <c r="D27" s="666" t="s">
        <v>336</v>
      </c>
      <c r="E27" s="297" t="s">
        <v>337</v>
      </c>
    </row>
    <row r="28" spans="1:5" ht="13.5" customHeight="1">
      <c r="A28" s="775"/>
      <c r="B28" s="773"/>
      <c r="C28" s="777"/>
      <c r="D28" s="667">
        <f>D6</f>
        <v>2018.0000000000043</v>
      </c>
      <c r="E28" s="663">
        <f>E6</f>
        <v>7.2019</v>
      </c>
    </row>
    <row r="29" spans="1:5" ht="12.75">
      <c r="A29" s="321">
        <v>1</v>
      </c>
      <c r="B29" s="322">
        <v>2</v>
      </c>
      <c r="C29" s="323">
        <v>3</v>
      </c>
      <c r="D29" s="664">
        <v>5</v>
      </c>
      <c r="E29" s="665">
        <v>8</v>
      </c>
    </row>
    <row r="30" spans="1:5" ht="15.75">
      <c r="A30" s="304">
        <v>1</v>
      </c>
      <c r="B30" s="550" t="s">
        <v>334</v>
      </c>
      <c r="C30" s="301" t="s">
        <v>70</v>
      </c>
      <c r="D30" s="85"/>
      <c r="E30" s="86"/>
    </row>
    <row r="31" spans="1:5" ht="12.75">
      <c r="A31" s="304">
        <v>2</v>
      </c>
      <c r="B31" s="308" t="s">
        <v>180</v>
      </c>
      <c r="C31" s="301" t="s">
        <v>70</v>
      </c>
      <c r="D31" s="56"/>
      <c r="E31" s="57"/>
    </row>
    <row r="32" spans="1:5" ht="12.75">
      <c r="A32" s="304">
        <v>3</v>
      </c>
      <c r="B32" s="308" t="s">
        <v>180</v>
      </c>
      <c r="C32" s="309" t="s">
        <v>7</v>
      </c>
      <c r="D32" s="310">
        <f>IF(D33=0,0,ROUND(D31/D33,4))</f>
        <v>0</v>
      </c>
      <c r="E32" s="324">
        <f>IF(E33=0,0,ROUND(E31/E33,4))</f>
        <v>0</v>
      </c>
    </row>
    <row r="33" spans="1:6" ht="12.75">
      <c r="A33" s="304">
        <v>4</v>
      </c>
      <c r="B33" s="308" t="s">
        <v>335</v>
      </c>
      <c r="C33" s="301" t="s">
        <v>70</v>
      </c>
      <c r="D33" s="325">
        <f>SUM(D30:D31)</f>
        <v>0</v>
      </c>
      <c r="E33" s="326">
        <f>SUM(E30:E31)</f>
        <v>0</v>
      </c>
      <c r="F33" s="303"/>
    </row>
    <row r="34" spans="1:6" ht="12.75">
      <c r="A34" s="304">
        <v>5</v>
      </c>
      <c r="B34" s="327" t="s">
        <v>343</v>
      </c>
      <c r="C34" s="301" t="s">
        <v>339</v>
      </c>
      <c r="D34" s="313">
        <f>D33*D41/1000</f>
        <v>0</v>
      </c>
      <c r="E34" s="314">
        <f>E33*E41/1000</f>
        <v>0</v>
      </c>
      <c r="F34" s="303"/>
    </row>
    <row r="35" spans="1:6" ht="12.75">
      <c r="A35" s="304">
        <v>6</v>
      </c>
      <c r="B35" s="308" t="s">
        <v>344</v>
      </c>
      <c r="C35" s="301" t="s">
        <v>339</v>
      </c>
      <c r="D35" s="313">
        <f>SUM(D36:D37)</f>
        <v>0</v>
      </c>
      <c r="E35" s="314">
        <f>SUM(E36:E37)</f>
        <v>0</v>
      </c>
      <c r="F35" s="303"/>
    </row>
    <row r="36" spans="1:6" ht="12.75">
      <c r="A36" s="304">
        <v>7</v>
      </c>
      <c r="B36" s="308" t="s">
        <v>345</v>
      </c>
      <c r="C36" s="301" t="s">
        <v>339</v>
      </c>
      <c r="D36" s="56"/>
      <c r="E36" s="57"/>
      <c r="F36" s="303"/>
    </row>
    <row r="37" spans="1:6" ht="12.75">
      <c r="A37" s="304">
        <v>8</v>
      </c>
      <c r="B37" s="308" t="s">
        <v>547</v>
      </c>
      <c r="C37" s="301" t="s">
        <v>339</v>
      </c>
      <c r="D37" s="313">
        <f>SUM(D38:D39)</f>
        <v>0</v>
      </c>
      <c r="E37" s="314">
        <f>SUM(E38:E39)</f>
        <v>0</v>
      </c>
      <c r="F37" s="303"/>
    </row>
    <row r="38" spans="1:6" ht="12.75">
      <c r="A38" s="304">
        <v>9</v>
      </c>
      <c r="B38" s="308" t="s">
        <v>346</v>
      </c>
      <c r="C38" s="301" t="s">
        <v>339</v>
      </c>
      <c r="D38" s="313"/>
      <c r="E38" s="314"/>
      <c r="F38" s="303"/>
    </row>
    <row r="39" spans="1:6" ht="12.75">
      <c r="A39" s="304">
        <v>10</v>
      </c>
      <c r="B39" s="308" t="s">
        <v>549</v>
      </c>
      <c r="C39" s="301" t="s">
        <v>339</v>
      </c>
      <c r="D39" s="313"/>
      <c r="E39" s="314"/>
      <c r="F39" s="303"/>
    </row>
    <row r="40" spans="1:6" ht="12.75">
      <c r="A40" s="304">
        <v>11</v>
      </c>
      <c r="B40" s="308" t="s">
        <v>467</v>
      </c>
      <c r="C40" s="301" t="s">
        <v>339</v>
      </c>
      <c r="D40" s="313">
        <f>D31*D41/1000</f>
        <v>0</v>
      </c>
      <c r="E40" s="314">
        <f>E31*E41/1000</f>
        <v>0</v>
      </c>
      <c r="F40" s="303"/>
    </row>
    <row r="41" spans="1:6" ht="13.5">
      <c r="A41" s="304">
        <v>12</v>
      </c>
      <c r="B41" s="315" t="s">
        <v>328</v>
      </c>
      <c r="C41" s="301" t="s">
        <v>199</v>
      </c>
      <c r="D41" s="318">
        <f>'ТИП-ПРОИЗ'!E125</f>
        <v>0</v>
      </c>
      <c r="E41" s="538">
        <f>'ТИП-ПРОИЗ'!F125</f>
        <v>0</v>
      </c>
      <c r="F41" s="303"/>
    </row>
    <row r="42" spans="1:6" ht="12.75">
      <c r="A42" s="304">
        <v>13</v>
      </c>
      <c r="B42" s="317" t="s">
        <v>329</v>
      </c>
      <c r="C42" s="301" t="s">
        <v>199</v>
      </c>
      <c r="D42" s="318">
        <f>IF(D30=0,0,SUM(D35,D40)/D30*1000)</f>
        <v>0</v>
      </c>
      <c r="E42" s="538">
        <f>IF(E30=0,0,SUM(E35,E40)/E30*1000)</f>
        <v>0</v>
      </c>
      <c r="F42" s="303"/>
    </row>
    <row r="43" spans="1:6" ht="12.75">
      <c r="A43" s="304">
        <v>14</v>
      </c>
      <c r="B43" s="317" t="s">
        <v>712</v>
      </c>
      <c r="C43" s="301" t="s">
        <v>199</v>
      </c>
      <c r="D43" s="318">
        <f>IF(D30=0,0,D40/D30*1000)</f>
        <v>0</v>
      </c>
      <c r="E43" s="538">
        <f>IF(E30=0,0,E40/E30*1000)</f>
        <v>0</v>
      </c>
      <c r="F43" s="303"/>
    </row>
    <row r="44" spans="1:6" ht="15.75">
      <c r="A44" s="304">
        <v>15</v>
      </c>
      <c r="B44" s="549" t="s">
        <v>182</v>
      </c>
      <c r="C44" s="301" t="s">
        <v>199</v>
      </c>
      <c r="D44" s="328">
        <f>ROUNDUP(IF(D30=0,0,SUM(D41*D33,D35*1000)/D30),4)</f>
        <v>0</v>
      </c>
      <c r="E44" s="329">
        <f>ROUNDUP(IF(E30=0,0,SUM(E41*E33,E35*1000)/E30),4)</f>
        <v>0</v>
      </c>
      <c r="F44" s="303"/>
    </row>
    <row r="45" spans="1:5" ht="13.5" thickBot="1">
      <c r="A45" s="539">
        <v>16</v>
      </c>
      <c r="B45" s="540" t="s">
        <v>338</v>
      </c>
      <c r="C45" s="541" t="s">
        <v>96</v>
      </c>
      <c r="D45" s="542">
        <f>D44*D30/1000</f>
        <v>0</v>
      </c>
      <c r="E45" s="543">
        <f>E44*E30/1000</f>
        <v>0</v>
      </c>
    </row>
    <row r="46" s="126" customFormat="1" ht="13.5" thickTop="1"/>
    <row r="47" s="126" customFormat="1" ht="13.5" thickBot="1"/>
    <row r="48" spans="1:5" ht="13.5" thickTop="1">
      <c r="A48" s="786" t="s">
        <v>37</v>
      </c>
      <c r="B48" s="788" t="s">
        <v>715</v>
      </c>
      <c r="C48" s="784" t="s">
        <v>2</v>
      </c>
      <c r="D48" s="296" t="s">
        <v>336</v>
      </c>
      <c r="E48" s="297" t="s">
        <v>337</v>
      </c>
    </row>
    <row r="49" spans="1:5" ht="12.75">
      <c r="A49" s="787"/>
      <c r="B49" s="789"/>
      <c r="C49" s="785"/>
      <c r="D49" s="298">
        <f>D6</f>
        <v>2018.0000000000043</v>
      </c>
      <c r="E49" s="533">
        <f>E6</f>
        <v>7.2019</v>
      </c>
    </row>
    <row r="50" spans="1:5" ht="13.5">
      <c r="A50" s="565">
        <v>1</v>
      </c>
      <c r="B50" s="561" t="s">
        <v>201</v>
      </c>
      <c r="C50" s="330" t="s">
        <v>333</v>
      </c>
      <c r="D50" s="331">
        <f>SUM(D51,D54)</f>
        <v>0</v>
      </c>
      <c r="E50" s="554">
        <f>SUM(E51,E54)</f>
        <v>0</v>
      </c>
    </row>
    <row r="51" spans="1:5" ht="13.5">
      <c r="A51" s="566">
        <v>2</v>
      </c>
      <c r="B51" s="562" t="s">
        <v>202</v>
      </c>
      <c r="C51" s="330" t="s">
        <v>333</v>
      </c>
      <c r="D51" s="313">
        <f>SUM(D52:D53)</f>
        <v>0</v>
      </c>
      <c r="E51" s="314">
        <f>SUM(E52:E53)</f>
        <v>0</v>
      </c>
    </row>
    <row r="52" spans="1:5" ht="12.75">
      <c r="A52" s="565">
        <v>3</v>
      </c>
      <c r="B52" s="563" t="s">
        <v>185</v>
      </c>
      <c r="C52" s="330" t="s">
        <v>333</v>
      </c>
      <c r="D52" s="306"/>
      <c r="E52" s="555"/>
    </row>
    <row r="53" spans="1:5" ht="12.75">
      <c r="A53" s="566">
        <v>4</v>
      </c>
      <c r="B53" s="563" t="s">
        <v>186</v>
      </c>
      <c r="C53" s="330" t="s">
        <v>333</v>
      </c>
      <c r="D53" s="306"/>
      <c r="E53" s="555"/>
    </row>
    <row r="54" spans="1:5" ht="13.5">
      <c r="A54" s="565">
        <v>5</v>
      </c>
      <c r="B54" s="562" t="s">
        <v>200</v>
      </c>
      <c r="C54" s="330" t="s">
        <v>333</v>
      </c>
      <c r="D54" s="313">
        <f>SUM(D55:D56)</f>
        <v>0</v>
      </c>
      <c r="E54" s="314">
        <f>SUM(E55:E56)</f>
        <v>0</v>
      </c>
    </row>
    <row r="55" spans="1:5" ht="12.75">
      <c r="A55" s="566">
        <v>6</v>
      </c>
      <c r="B55" s="563" t="s">
        <v>185</v>
      </c>
      <c r="C55" s="330" t="s">
        <v>333</v>
      </c>
      <c r="D55" s="306"/>
      <c r="E55" s="555"/>
    </row>
    <row r="56" spans="1:5" ht="12.75">
      <c r="A56" s="567">
        <v>7</v>
      </c>
      <c r="B56" s="564" t="s">
        <v>186</v>
      </c>
      <c r="C56" s="557" t="s">
        <v>333</v>
      </c>
      <c r="D56" s="558"/>
      <c r="E56" s="559"/>
    </row>
    <row r="57" spans="1:5" ht="13.5" thickBot="1">
      <c r="A57" s="568">
        <v>8</v>
      </c>
      <c r="B57" s="598" t="s">
        <v>713</v>
      </c>
      <c r="C57" s="556" t="s">
        <v>714</v>
      </c>
      <c r="D57" s="556">
        <f>'ТИП-ПРОИЗ'!E132</f>
        <v>0</v>
      </c>
      <c r="E57" s="560">
        <f>'ТИП-ПРОИЗ'!F132</f>
        <v>0</v>
      </c>
    </row>
    <row r="58" spans="1:5" ht="13.5" thickTop="1">
      <c r="A58" s="551"/>
      <c r="B58" s="552"/>
      <c r="C58" s="553"/>
      <c r="D58" s="553"/>
      <c r="E58" s="553"/>
    </row>
    <row r="59" ht="13.5" thickBot="1"/>
    <row r="60" spans="1:5" ht="13.5" thickTop="1">
      <c r="A60" s="778" t="s">
        <v>40</v>
      </c>
      <c r="B60" s="569" t="s">
        <v>187</v>
      </c>
      <c r="C60" s="570" t="s">
        <v>3</v>
      </c>
      <c r="D60" s="571">
        <f>SUM('ТИП-ПРОИЗ'!E122,Разходи!E8)</f>
        <v>0</v>
      </c>
      <c r="E60" s="572">
        <f>SUM('ТИП-ПРОИЗ'!F122,Разходи!H8)</f>
        <v>0</v>
      </c>
    </row>
    <row r="61" spans="1:5" ht="13.5" thickBot="1">
      <c r="A61" s="779"/>
      <c r="B61" s="573" t="s">
        <v>188</v>
      </c>
      <c r="C61" s="574" t="s">
        <v>3</v>
      </c>
      <c r="D61" s="575">
        <f>ROUND(SUM(D7*D23,D30*D44)/1000,0)</f>
        <v>0</v>
      </c>
      <c r="E61" s="576">
        <f>ROUND(SUM(E7*E23,E30*E44)/1000,0)</f>
        <v>0</v>
      </c>
    </row>
    <row r="62" spans="1:5" ht="13.5" thickTop="1">
      <c r="A62" s="332"/>
      <c r="B62" s="333"/>
      <c r="C62" s="333"/>
      <c r="D62" s="333"/>
      <c r="E62" s="333"/>
    </row>
    <row r="63" spans="1:5" ht="12.75">
      <c r="A63" s="333"/>
      <c r="B63" s="333"/>
      <c r="C63" s="333"/>
      <c r="D63" s="333"/>
      <c r="E63" s="333"/>
    </row>
    <row r="64" spans="1:5" ht="12.75">
      <c r="A64" s="333"/>
      <c r="B64" s="333"/>
      <c r="C64" s="333"/>
      <c r="D64" s="333"/>
      <c r="E64" s="333"/>
    </row>
    <row r="65" spans="1:5" ht="12.75">
      <c r="A65" s="333"/>
      <c r="B65" s="333"/>
      <c r="C65" s="333"/>
      <c r="D65" s="333"/>
      <c r="E65" s="333"/>
    </row>
    <row r="66" spans="1:5" ht="15.75">
      <c r="A66" s="334" t="str">
        <f>Разходи!$A$91</f>
        <v>Гл. счетоводител:</v>
      </c>
      <c r="B66" s="335"/>
      <c r="D66" s="336"/>
      <c r="E66" s="336"/>
    </row>
    <row r="67" spans="1:5" ht="12.75">
      <c r="A67" s="334"/>
      <c r="B67" s="337" t="str">
        <f>Разходи!$B$93</f>
        <v>/ Xxx                  /</v>
      </c>
      <c r="D67" s="771" t="str">
        <f>Разходи!$F$93</f>
        <v>/ Xxxxxx                  /</v>
      </c>
      <c r="E67" s="771"/>
    </row>
    <row r="68" ht="12.75"/>
    <row r="69" ht="12.75"/>
    <row r="70" ht="12.75"/>
    <row r="71" ht="12.75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/>
    <row r="163" ht="12.75"/>
    <row r="164" ht="12.75"/>
  </sheetData>
  <sheetProtection/>
  <mergeCells count="14">
    <mergeCell ref="C5:C6"/>
    <mergeCell ref="A48:A49"/>
    <mergeCell ref="B48:B49"/>
    <mergeCell ref="C48:C49"/>
    <mergeCell ref="B1:C1"/>
    <mergeCell ref="B2:C2"/>
    <mergeCell ref="B3:C3"/>
    <mergeCell ref="D67:E67"/>
    <mergeCell ref="B27:B28"/>
    <mergeCell ref="A27:A28"/>
    <mergeCell ref="C27:C28"/>
    <mergeCell ref="A60:A61"/>
    <mergeCell ref="A5:A6"/>
    <mergeCell ref="B5:B6"/>
  </mergeCells>
  <printOptions horizontalCentered="1"/>
  <pageMargins left="0.7480314960629921" right="0.15748031496062992" top="0.7874015748031497" bottom="0.3937007874015748" header="0.11811023622047245" footer="0.11811023622047245"/>
  <pageSetup blackAndWhite="1" horizontalDpi="600" verticalDpi="600" orientation="portrait" paperSize="9" scale="80" r:id="rId1"/>
  <ignoredErrors>
    <ignoredError sqref="D7:E7 D33:E33 D54:E54" formulaRange="1"/>
    <ignoredError sqref="D20:E21 D44:E44 D42:E42" unlockedFormula="1"/>
    <ignoredError sqref="D15:E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F64"/>
  <sheetViews>
    <sheetView showGridLines="0" showZeros="0" zoomScale="110" zoomScaleNormal="110" zoomScalePageLayoutView="0" workbookViewId="0" topLeftCell="A1">
      <selection activeCell="F22" sqref="F22"/>
    </sheetView>
  </sheetViews>
  <sheetFormatPr defaultColWidth="0" defaultRowHeight="0" customHeight="1" zeroHeight="1"/>
  <cols>
    <col min="1" max="1" width="5.140625" style="631" customWidth="1"/>
    <col min="2" max="2" width="56.57421875" style="1" customWidth="1"/>
    <col min="3" max="3" width="8.57421875" style="1" customWidth="1"/>
    <col min="4" max="4" width="7.57421875" style="1" customWidth="1"/>
    <col min="5" max="5" width="10.57421875" style="19" customWidth="1"/>
    <col min="6" max="6" width="11.57421875" style="19" customWidth="1"/>
    <col min="7" max="7" width="9.140625" style="1" customWidth="1"/>
    <col min="8" max="16384" width="9.140625" style="1" hidden="1" customWidth="1"/>
  </cols>
  <sheetData>
    <row r="1" spans="1:6" ht="18.75" customHeight="1">
      <c r="A1" s="602"/>
      <c r="B1" s="790">
        <v>6</v>
      </c>
      <c r="C1" s="790"/>
      <c r="D1" s="603"/>
      <c r="E1" s="603"/>
      <c r="F1" s="137" t="s">
        <v>688</v>
      </c>
    </row>
    <row r="2" spans="1:6" ht="14.25" customHeight="1">
      <c r="A2" s="603"/>
      <c r="B2" s="602"/>
      <c r="C2" s="603"/>
      <c r="D2" s="603"/>
      <c r="E2" s="603"/>
      <c r="F2" s="603"/>
    </row>
    <row r="3" spans="1:6" ht="14.25" customHeight="1">
      <c r="A3" s="604"/>
      <c r="B3" s="791" t="s">
        <v>189</v>
      </c>
      <c r="C3" s="791"/>
      <c r="D3" s="605"/>
      <c r="E3" s="605"/>
      <c r="F3" s="605"/>
    </row>
    <row r="4" spans="1:6" ht="14.25" customHeight="1">
      <c r="A4" s="606"/>
      <c r="B4" s="792" t="str">
        <f>'ТИП-ПРОИЗ'!$B$3:$C$3</f>
        <v>"Топлофикация- ....................." ЕАД</v>
      </c>
      <c r="C4" s="792"/>
      <c r="D4" s="606"/>
      <c r="E4" s="606"/>
      <c r="F4" s="606"/>
    </row>
    <row r="5" spans="1:6" ht="14.25" customHeight="1" thickBot="1">
      <c r="A5" s="607"/>
      <c r="B5" s="608"/>
      <c r="C5" s="608"/>
      <c r="D5" s="608"/>
      <c r="E5" s="608"/>
      <c r="F5" s="608"/>
    </row>
    <row r="6" spans="1:6" ht="14.25" customHeight="1" thickBot="1" thickTop="1">
      <c r="A6" s="794" t="s">
        <v>0</v>
      </c>
      <c r="B6" s="796" t="s">
        <v>160</v>
      </c>
      <c r="C6" s="796" t="s">
        <v>42</v>
      </c>
      <c r="D6" s="796" t="s">
        <v>14</v>
      </c>
      <c r="E6" s="296" t="s">
        <v>336</v>
      </c>
      <c r="F6" s="297" t="s">
        <v>337</v>
      </c>
    </row>
    <row r="7" spans="1:6" ht="13.5" thickTop="1">
      <c r="A7" s="795"/>
      <c r="B7" s="797"/>
      <c r="C7" s="797"/>
      <c r="D7" s="797"/>
      <c r="E7" s="81">
        <f>'ТИП-ПРОИЗ'!E6</f>
        <v>2018.0000000000043</v>
      </c>
      <c r="F7" s="668">
        <f>'ТИП-ПРОИЗ'!F6</f>
        <v>7.2019</v>
      </c>
    </row>
    <row r="8" spans="1:7" ht="13.5" customHeight="1">
      <c r="A8" s="609">
        <v>1</v>
      </c>
      <c r="B8" s="610">
        <v>2</v>
      </c>
      <c r="C8" s="610">
        <v>3</v>
      </c>
      <c r="D8" s="611">
        <v>4</v>
      </c>
      <c r="E8" s="610">
        <v>5</v>
      </c>
      <c r="F8" s="612">
        <v>6</v>
      </c>
      <c r="G8" s="613"/>
    </row>
    <row r="9" spans="1:6" ht="14.25" customHeight="1">
      <c r="A9" s="614">
        <v>1</v>
      </c>
      <c r="B9" s="615" t="s">
        <v>43</v>
      </c>
      <c r="C9" s="616" t="s">
        <v>44</v>
      </c>
      <c r="D9" s="591" t="s">
        <v>23</v>
      </c>
      <c r="E9" s="617"/>
      <c r="F9" s="618"/>
    </row>
    <row r="10" spans="1:6" ht="14.25" customHeight="1">
      <c r="A10" s="614">
        <v>2</v>
      </c>
      <c r="B10" s="615" t="s">
        <v>45</v>
      </c>
      <c r="C10" s="616" t="s">
        <v>212</v>
      </c>
      <c r="D10" s="591" t="s">
        <v>46</v>
      </c>
      <c r="E10" s="617"/>
      <c r="F10" s="618"/>
    </row>
    <row r="11" spans="1:6" ht="14.25" customHeight="1">
      <c r="A11" s="614">
        <v>3</v>
      </c>
      <c r="B11" s="615" t="s">
        <v>47</v>
      </c>
      <c r="C11" s="616" t="s">
        <v>48</v>
      </c>
      <c r="D11" s="591" t="s">
        <v>23</v>
      </c>
      <c r="E11" s="619">
        <f>ROUND(E9*1.05,0)</f>
        <v>0</v>
      </c>
      <c r="F11" s="620"/>
    </row>
    <row r="12" spans="1:6" ht="14.25" customHeight="1">
      <c r="A12" s="614">
        <v>4</v>
      </c>
      <c r="B12" s="615" t="s">
        <v>49</v>
      </c>
      <c r="C12" s="616" t="s">
        <v>50</v>
      </c>
      <c r="D12" s="591" t="s">
        <v>51</v>
      </c>
      <c r="E12" s="621"/>
      <c r="F12" s="618"/>
    </row>
    <row r="13" spans="1:6" ht="14.25" customHeight="1">
      <c r="A13" s="614">
        <v>5</v>
      </c>
      <c r="B13" s="615" t="s">
        <v>52</v>
      </c>
      <c r="C13" s="616" t="s">
        <v>53</v>
      </c>
      <c r="D13" s="591" t="s">
        <v>46</v>
      </c>
      <c r="E13" s="621"/>
      <c r="F13" s="618"/>
    </row>
    <row r="14" spans="1:58" ht="12.75" customHeight="1">
      <c r="A14" s="614">
        <v>6</v>
      </c>
      <c r="B14" s="615" t="s">
        <v>204</v>
      </c>
      <c r="C14" s="622" t="s">
        <v>219</v>
      </c>
      <c r="D14" s="591" t="s">
        <v>70</v>
      </c>
      <c r="E14" s="619">
        <f>IF(E9=0,0,(E9*E10-E11*E13)/3600)</f>
        <v>0</v>
      </c>
      <c r="F14" s="620">
        <f>IF(F9=0,0,(F9*F10-F11*F13)/3600)</f>
        <v>0</v>
      </c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3"/>
      <c r="BF14" s="623"/>
    </row>
    <row r="15" spans="1:58" ht="12.75" customHeight="1">
      <c r="A15" s="614">
        <v>7</v>
      </c>
      <c r="B15" s="615" t="s">
        <v>416</v>
      </c>
      <c r="C15" s="60" t="s">
        <v>417</v>
      </c>
      <c r="D15" s="591" t="s">
        <v>7</v>
      </c>
      <c r="E15" s="624">
        <f>IF(E9=0,0,IF('ТИП-ПРОИЗ'!E32=0,0,E14/'ТИП-ПРОИЗ'!E32))</f>
        <v>0</v>
      </c>
      <c r="F15" s="625">
        <f>IF(F9=0,0,IF('ТИП-ПРОИЗ'!F32=0,0,F14/'ТИП-ПРОИЗ'!F32))</f>
        <v>0</v>
      </c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3"/>
      <c r="AW15" s="623"/>
      <c r="AX15" s="623"/>
      <c r="AY15" s="623"/>
      <c r="AZ15" s="623"/>
      <c r="BA15" s="623"/>
      <c r="BB15" s="623"/>
      <c r="BC15" s="623"/>
      <c r="BD15" s="623"/>
      <c r="BE15" s="623"/>
      <c r="BF15" s="623"/>
    </row>
    <row r="16" spans="1:6" ht="12.75" customHeight="1">
      <c r="A16" s="614">
        <v>8</v>
      </c>
      <c r="B16" s="626" t="s">
        <v>36</v>
      </c>
      <c r="C16" s="60" t="s">
        <v>728</v>
      </c>
      <c r="D16" s="591" t="s">
        <v>86</v>
      </c>
      <c r="E16" s="627"/>
      <c r="F16" s="628"/>
    </row>
    <row r="17" spans="1:6" ht="14.25">
      <c r="A17" s="614">
        <v>9</v>
      </c>
      <c r="B17" s="655" t="s">
        <v>729</v>
      </c>
      <c r="C17" s="656" t="s">
        <v>750</v>
      </c>
      <c r="D17" s="591" t="s">
        <v>7</v>
      </c>
      <c r="E17" s="629"/>
      <c r="F17" s="630"/>
    </row>
    <row r="18" spans="1:6" ht="14.25">
      <c r="A18" s="614">
        <v>10</v>
      </c>
      <c r="B18" s="655" t="s">
        <v>730</v>
      </c>
      <c r="C18" s="656" t="s">
        <v>751</v>
      </c>
      <c r="D18" s="591" t="s">
        <v>7</v>
      </c>
      <c r="E18" s="629"/>
      <c r="F18" s="630"/>
    </row>
    <row r="19" spans="1:6" ht="14.25">
      <c r="A19" s="614">
        <v>11</v>
      </c>
      <c r="B19" s="655" t="s">
        <v>392</v>
      </c>
      <c r="C19" s="657" t="s">
        <v>736</v>
      </c>
      <c r="D19" s="591" t="s">
        <v>7</v>
      </c>
      <c r="E19" s="599">
        <f>SUM(E20:E21)</f>
        <v>0</v>
      </c>
      <c r="F19" s="601">
        <f>SUM(F20:F21)</f>
        <v>0</v>
      </c>
    </row>
    <row r="20" spans="1:6" ht="14.25">
      <c r="A20" s="614">
        <v>12</v>
      </c>
      <c r="B20" s="655" t="s">
        <v>244</v>
      </c>
      <c r="C20" s="656" t="s">
        <v>752</v>
      </c>
      <c r="D20" s="591" t="s">
        <v>7</v>
      </c>
      <c r="E20" s="632">
        <f>IF('ТИП-ПРОИЗ'!E32=0,0,SUM('ТИП-ПРОИЗ'!E8,-'ТИП-ПРОИЗ'!E45)/'ТИП-ПРОИЗ'!E32)</f>
        <v>0</v>
      </c>
      <c r="F20" s="600">
        <f>IF('ТИП-ПРОИЗ'!F32=0,0,SUM('ТИП-ПРОИЗ'!F8,-'ТИП-ПРОИЗ'!F45)/'ТИП-ПРОИЗ'!F32)</f>
        <v>0</v>
      </c>
    </row>
    <row r="21" spans="1:6" ht="17.25" customHeight="1">
      <c r="A21" s="614">
        <v>13</v>
      </c>
      <c r="B21" s="655" t="s">
        <v>243</v>
      </c>
      <c r="C21" s="656" t="s">
        <v>753</v>
      </c>
      <c r="D21" s="591" t="s">
        <v>7</v>
      </c>
      <c r="E21" s="632">
        <f>IF('ТИП-ПРОИЗ'!E32=0,0,'ТИП-ПРОИЗ'!E27/'ТИП-ПРОИЗ'!E32)</f>
        <v>0</v>
      </c>
      <c r="F21" s="600">
        <f>IF('ТИП-ПРОИЗ'!F32=0,0,'ТИП-ПРОИЗ'!F27/'ТИП-ПРОИЗ'!F32)</f>
        <v>0</v>
      </c>
    </row>
    <row r="22" spans="1:6" ht="20.25" customHeight="1">
      <c r="A22" s="614">
        <v>21</v>
      </c>
      <c r="B22" s="837" t="s">
        <v>763</v>
      </c>
      <c r="C22" s="838" t="s">
        <v>764</v>
      </c>
      <c r="D22" s="839" t="s">
        <v>7</v>
      </c>
      <c r="E22" s="844">
        <v>1E-07</v>
      </c>
      <c r="F22" s="845">
        <v>1E-05</v>
      </c>
    </row>
    <row r="23" spans="1:6" ht="12.75">
      <c r="A23" s="614">
        <v>22</v>
      </c>
      <c r="B23" s="635" t="s">
        <v>765</v>
      </c>
      <c r="C23" s="840"/>
      <c r="D23" s="841"/>
      <c r="E23" s="633">
        <f>E22*'ТИП-ПРОИЗ'!E32</f>
        <v>0</v>
      </c>
      <c r="F23" s="634">
        <f>F22*'ТИП-ПРОИЗ'!F32</f>
        <v>0</v>
      </c>
    </row>
    <row r="24" spans="1:6" ht="15.75">
      <c r="A24" s="614">
        <v>23</v>
      </c>
      <c r="B24" s="578" t="s">
        <v>766</v>
      </c>
      <c r="C24" s="842"/>
      <c r="D24" s="839"/>
      <c r="E24" s="93">
        <f>IF(SUM('ТИП-ПРОИЗ'!E32,'ТИП-ПРОИЗ'!E49)=0,0,E23/'ТИП-ПРОИЗ'!E69)</f>
        <v>0</v>
      </c>
      <c r="F24" s="512">
        <f>IF(SUM('ТИП-ПРОИЗ'!F32,'ТИП-ПРОИЗ'!F49)=0,0,F23/'ТИП-ПРОИЗ'!F69)</f>
        <v>0</v>
      </c>
    </row>
    <row r="25" spans="1:7" ht="12.75">
      <c r="A25" s="614">
        <v>24</v>
      </c>
      <c r="B25" s="79" t="s">
        <v>394</v>
      </c>
      <c r="C25" s="842"/>
      <c r="D25" s="842"/>
      <c r="E25" s="82">
        <f>'ТИП-ПРОИЗ'!E27*'ТИП-ПРОИЗ'!E42/1000</f>
        <v>0</v>
      </c>
      <c r="F25" s="513">
        <f>'ТИП-ПРОИЗ'!F27*'ТИП-ПРОИЗ'!F42/1000</f>
        <v>0</v>
      </c>
      <c r="G25" s="91"/>
    </row>
    <row r="26" spans="1:7" ht="12.75">
      <c r="A26" s="614">
        <v>25</v>
      </c>
      <c r="B26" s="79" t="s">
        <v>393</v>
      </c>
      <c r="C26" s="842"/>
      <c r="D26" s="842"/>
      <c r="E26" s="89">
        <f>SUM('ТИП-ПРОИЗ'!E68,-E25)</f>
        <v>0</v>
      </c>
      <c r="F26" s="514">
        <f>SUM('ТИП-ПРОИЗ'!F68,-F25)</f>
        <v>0</v>
      </c>
      <c r="G26" s="91"/>
    </row>
    <row r="27" spans="1:7" ht="15.75">
      <c r="A27" s="614">
        <v>26</v>
      </c>
      <c r="B27" s="837" t="s">
        <v>767</v>
      </c>
      <c r="C27" s="843" t="s">
        <v>768</v>
      </c>
      <c r="D27" s="839" t="s">
        <v>7</v>
      </c>
      <c r="E27" s="515">
        <f>IF(SUM('ТИП-ПРОИЗ'!E8,'ТИП-ПРОИЗ'!E27)=0,0,'ТИП-ПРОИЗ'!E27/SUM('ТИП-ПРОИЗ'!E8,'ТИП-ПРОИЗ'!E27))</f>
        <v>0</v>
      </c>
      <c r="F27" s="516">
        <f>IF(SUM('ТИП-ПРОИЗ'!F8,'ТИП-ПРОИЗ'!F27)=0,0,'ТИП-ПРОИЗ'!F27/SUM('ТИП-ПРОИЗ'!F8,'ТИП-ПРОИЗ'!F27))</f>
        <v>0</v>
      </c>
      <c r="G27" s="91"/>
    </row>
    <row r="28" spans="1:6" s="639" customFormat="1" ht="14.25" customHeight="1">
      <c r="A28" s="614">
        <v>27</v>
      </c>
      <c r="B28" s="636" t="s">
        <v>681</v>
      </c>
      <c r="C28" s="637" t="s">
        <v>81</v>
      </c>
      <c r="D28" s="638" t="s">
        <v>23</v>
      </c>
      <c r="E28" s="621"/>
      <c r="F28" s="618"/>
    </row>
    <row r="29" spans="1:6" s="639" customFormat="1" ht="14.25" customHeight="1">
      <c r="A29" s="614">
        <v>28</v>
      </c>
      <c r="B29" s="636" t="s">
        <v>682</v>
      </c>
      <c r="C29" s="637" t="s">
        <v>213</v>
      </c>
      <c r="D29" s="638" t="s">
        <v>46</v>
      </c>
      <c r="E29" s="621"/>
      <c r="F29" s="618"/>
    </row>
    <row r="30" spans="1:6" s="639" customFormat="1" ht="14.25" customHeight="1">
      <c r="A30" s="614">
        <v>29</v>
      </c>
      <c r="B30" s="636" t="s">
        <v>205</v>
      </c>
      <c r="C30" s="637" t="s">
        <v>81</v>
      </c>
      <c r="D30" s="638" t="s">
        <v>23</v>
      </c>
      <c r="E30" s="621"/>
      <c r="F30" s="618"/>
    </row>
    <row r="31" spans="1:6" s="639" customFormat="1" ht="14.25" customHeight="1">
      <c r="A31" s="614">
        <v>30</v>
      </c>
      <c r="B31" s="636" t="s">
        <v>206</v>
      </c>
      <c r="C31" s="637" t="s">
        <v>213</v>
      </c>
      <c r="D31" s="638" t="s">
        <v>46</v>
      </c>
      <c r="E31" s="621"/>
      <c r="F31" s="618"/>
    </row>
    <row r="32" spans="1:6" s="639" customFormat="1" ht="14.25" customHeight="1">
      <c r="A32" s="614">
        <v>31</v>
      </c>
      <c r="B32" s="640" t="s">
        <v>54</v>
      </c>
      <c r="C32" s="637" t="s">
        <v>55</v>
      </c>
      <c r="D32" s="638" t="s">
        <v>23</v>
      </c>
      <c r="E32" s="641">
        <f>SUM(E9,-E28)</f>
        <v>0</v>
      </c>
      <c r="F32" s="620">
        <f>SUM(F9,-F28)</f>
        <v>0</v>
      </c>
    </row>
    <row r="33" spans="1:6" s="639" customFormat="1" ht="14.25" customHeight="1">
      <c r="A33" s="614">
        <v>32</v>
      </c>
      <c r="B33" s="642" t="s">
        <v>56</v>
      </c>
      <c r="C33" s="637" t="s">
        <v>214</v>
      </c>
      <c r="D33" s="638" t="s">
        <v>46</v>
      </c>
      <c r="E33" s="621"/>
      <c r="F33" s="618"/>
    </row>
    <row r="34" spans="1:6" ht="12.75" customHeight="1">
      <c r="A34" s="614">
        <v>33</v>
      </c>
      <c r="B34" s="642" t="s">
        <v>78</v>
      </c>
      <c r="C34" s="616"/>
      <c r="D34" s="591" t="s">
        <v>70</v>
      </c>
      <c r="E34" s="641">
        <f>SUM(E35:E36)</f>
        <v>0</v>
      </c>
      <c r="F34" s="620">
        <f>SUM(F35:F36)</f>
        <v>0</v>
      </c>
    </row>
    <row r="35" spans="1:6" ht="12.75" customHeight="1">
      <c r="A35" s="614" t="s">
        <v>734</v>
      </c>
      <c r="B35" s="643" t="s">
        <v>207</v>
      </c>
      <c r="C35" s="616"/>
      <c r="D35" s="591" t="s">
        <v>70</v>
      </c>
      <c r="E35" s="621"/>
      <c r="F35" s="618"/>
    </row>
    <row r="36" spans="1:6" ht="12.75" customHeight="1">
      <c r="A36" s="614" t="s">
        <v>735</v>
      </c>
      <c r="B36" s="643" t="s">
        <v>208</v>
      </c>
      <c r="C36" s="616"/>
      <c r="D36" s="591" t="s">
        <v>70</v>
      </c>
      <c r="E36" s="621"/>
      <c r="F36" s="618"/>
    </row>
    <row r="37" spans="1:6" ht="14.25" customHeight="1">
      <c r="A37" s="614">
        <v>34</v>
      </c>
      <c r="B37" s="642" t="s">
        <v>57</v>
      </c>
      <c r="C37" s="616" t="s">
        <v>58</v>
      </c>
      <c r="D37" s="591" t="s">
        <v>23</v>
      </c>
      <c r="E37" s="621"/>
      <c r="F37" s="618"/>
    </row>
    <row r="38" spans="1:6" ht="14.25" customHeight="1">
      <c r="A38" s="614">
        <v>35</v>
      </c>
      <c r="B38" s="642" t="s">
        <v>59</v>
      </c>
      <c r="C38" s="616" t="s">
        <v>215</v>
      </c>
      <c r="D38" s="591" t="s">
        <v>46</v>
      </c>
      <c r="E38" s="621"/>
      <c r="F38" s="618"/>
    </row>
    <row r="39" spans="1:6" ht="14.25" customHeight="1">
      <c r="A39" s="614">
        <v>36</v>
      </c>
      <c r="B39" s="642" t="s">
        <v>722</v>
      </c>
      <c r="C39" s="616" t="s">
        <v>721</v>
      </c>
      <c r="D39" s="591"/>
      <c r="E39" s="644">
        <f>IF(E37=0,0,'ТИП-ПРОИЗ'!E47/Коефициенти!E37*3600)</f>
        <v>0</v>
      </c>
      <c r="F39" s="645">
        <f>IF(F37=0,0,'ТИП-ПРОИЗ'!F47/Коефициенти!F37*3600)</f>
        <v>0</v>
      </c>
    </row>
    <row r="40" spans="1:6" ht="14.25" customHeight="1">
      <c r="A40" s="614">
        <v>37</v>
      </c>
      <c r="B40" s="642" t="s">
        <v>719</v>
      </c>
      <c r="C40" s="616" t="s">
        <v>50</v>
      </c>
      <c r="D40" s="591" t="s">
        <v>720</v>
      </c>
      <c r="E40" s="644">
        <f>SUM(E38,-E39)/3600*860</f>
        <v>0</v>
      </c>
      <c r="F40" s="645">
        <f>SUM(F38,-F39)/3600*860</f>
        <v>0</v>
      </c>
    </row>
    <row r="41" spans="1:6" ht="14.25" customHeight="1">
      <c r="A41" s="614">
        <v>38</v>
      </c>
      <c r="B41" s="640" t="s">
        <v>60</v>
      </c>
      <c r="C41" s="622" t="s">
        <v>61</v>
      </c>
      <c r="D41" s="591" t="s">
        <v>23</v>
      </c>
      <c r="E41" s="621"/>
      <c r="F41" s="618"/>
    </row>
    <row r="42" spans="1:6" ht="14.25" customHeight="1">
      <c r="A42" s="614">
        <v>39</v>
      </c>
      <c r="B42" s="646" t="s">
        <v>62</v>
      </c>
      <c r="C42" s="616" t="s">
        <v>216</v>
      </c>
      <c r="D42" s="591" t="s">
        <v>46</v>
      </c>
      <c r="E42" s="621"/>
      <c r="F42" s="618"/>
    </row>
    <row r="43" spans="1:6" ht="14.25" customHeight="1">
      <c r="A43" s="614">
        <v>40</v>
      </c>
      <c r="B43" s="640" t="s">
        <v>82</v>
      </c>
      <c r="C43" s="622" t="s">
        <v>63</v>
      </c>
      <c r="D43" s="638" t="s">
        <v>23</v>
      </c>
      <c r="E43" s="617"/>
      <c r="F43" s="618"/>
    </row>
    <row r="44" spans="1:6" ht="14.25" customHeight="1">
      <c r="A44" s="614">
        <v>41</v>
      </c>
      <c r="B44" s="640" t="s">
        <v>64</v>
      </c>
      <c r="C44" s="622" t="s">
        <v>217</v>
      </c>
      <c r="D44" s="591" t="s">
        <v>46</v>
      </c>
      <c r="E44" s="617"/>
      <c r="F44" s="618"/>
    </row>
    <row r="45" spans="1:6" ht="14.25" customHeight="1">
      <c r="A45" s="614">
        <v>42</v>
      </c>
      <c r="B45" s="642" t="s">
        <v>65</v>
      </c>
      <c r="C45" s="616" t="s">
        <v>66</v>
      </c>
      <c r="D45" s="591" t="s">
        <v>418</v>
      </c>
      <c r="E45" s="617"/>
      <c r="F45" s="618"/>
    </row>
    <row r="46" spans="1:6" ht="14.25" customHeight="1">
      <c r="A46" s="614">
        <v>43</v>
      </c>
      <c r="B46" s="642" t="s">
        <v>67</v>
      </c>
      <c r="C46" s="616" t="s">
        <v>66</v>
      </c>
      <c r="D46" s="591" t="s">
        <v>418</v>
      </c>
      <c r="E46" s="617"/>
      <c r="F46" s="618"/>
    </row>
    <row r="47" spans="1:6" ht="14.25" customHeight="1">
      <c r="A47" s="614">
        <v>44</v>
      </c>
      <c r="B47" s="640" t="s">
        <v>68</v>
      </c>
      <c r="C47" s="616" t="s">
        <v>69</v>
      </c>
      <c r="D47" s="591" t="s">
        <v>70</v>
      </c>
      <c r="E47" s="617"/>
      <c r="F47" s="618"/>
    </row>
    <row r="48" ht="14.25" customHeight="1"/>
    <row r="49" ht="14.25" customHeight="1"/>
    <row r="50" ht="14.25" customHeight="1"/>
    <row r="51" ht="14.25" customHeight="1"/>
    <row r="52" spans="1:7" ht="15.75">
      <c r="A52" s="1" t="str">
        <f>Разходи!$A$91</f>
        <v>Гл. счетоводител:</v>
      </c>
      <c r="B52" s="647"/>
      <c r="D52" s="648" t="str">
        <f>Разходи!$E$91</f>
        <v>Изп. директор:</v>
      </c>
      <c r="E52" s="649"/>
      <c r="F52" s="649"/>
      <c r="G52" s="650"/>
    </row>
    <row r="53" spans="1:7" ht="12.75">
      <c r="A53" s="1"/>
      <c r="B53" s="651" t="str">
        <f>Разходи!$B$93</f>
        <v>/ Xxx                  /</v>
      </c>
      <c r="D53" s="650"/>
      <c r="E53" s="793" t="str">
        <f>Разходи!$F$93</f>
        <v>/ Xxxxxx                  /</v>
      </c>
      <c r="F53" s="793"/>
      <c r="G53" s="793"/>
    </row>
    <row r="54" spans="2:6" ht="14.25" customHeight="1">
      <c r="B54" s="639"/>
      <c r="C54" s="639"/>
      <c r="D54" s="639"/>
      <c r="E54" s="652"/>
      <c r="F54" s="652"/>
    </row>
    <row r="55" spans="2:6" ht="14.25" customHeight="1">
      <c r="B55" s="639"/>
      <c r="C55" s="639"/>
      <c r="D55" s="639"/>
      <c r="E55" s="653"/>
      <c r="F55" s="653"/>
    </row>
    <row r="56" spans="5:6" ht="14.25" customHeight="1">
      <c r="E56" s="654"/>
      <c r="F56" s="654"/>
    </row>
    <row r="57" ht="14.25" customHeight="1"/>
    <row r="58" ht="14.25" customHeight="1"/>
    <row r="59" ht="14.25" customHeight="1">
      <c r="A59" s="1"/>
    </row>
    <row r="60" ht="12.75">
      <c r="A60" s="1"/>
    </row>
    <row r="61" ht="12.75">
      <c r="A61" s="1"/>
    </row>
    <row r="62" spans="1:4" ht="12.75">
      <c r="A62" s="80"/>
      <c r="D62" s="19"/>
    </row>
    <row r="63" spans="1:4" ht="12.75">
      <c r="A63" s="80"/>
      <c r="D63" s="19"/>
    </row>
    <row r="64" spans="1:4" ht="12.75">
      <c r="A64" s="80"/>
      <c r="D64" s="1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</sheetData>
  <sheetProtection/>
  <mergeCells count="8">
    <mergeCell ref="B1:C1"/>
    <mergeCell ref="B3:C3"/>
    <mergeCell ref="B4:C4"/>
    <mergeCell ref="E53:G53"/>
    <mergeCell ref="A6:A7"/>
    <mergeCell ref="B6:B7"/>
    <mergeCell ref="C6:C7"/>
    <mergeCell ref="D6:D7"/>
  </mergeCells>
  <printOptions horizontalCentered="1"/>
  <pageMargins left="0.7480314960629921" right="0.15748031496062992" top="0.7874015748031497" bottom="0.3937007874015748" header="0.5118110236220472" footer="0.31496062992125984"/>
  <pageSetup horizontalDpi="600" verticalDpi="600" orientation="portrait" paperSize="9" scale="80" r:id="rId1"/>
  <ignoredErrors>
    <ignoredError sqref="E32" unlockedFormula="1"/>
    <ignoredError sqref="E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showZeros="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136" customWidth="1"/>
    <col min="2" max="2" width="27.57421875" style="136" customWidth="1"/>
    <col min="3" max="3" width="8.57421875" style="136" customWidth="1"/>
    <col min="4" max="4" width="9.57421875" style="136" customWidth="1"/>
    <col min="5" max="12" width="8.57421875" style="136" customWidth="1"/>
    <col min="13" max="18" width="0" style="136" hidden="1" customWidth="1"/>
    <col min="19" max="19" width="10.57421875" style="136" hidden="1" customWidth="1"/>
    <col min="20" max="16384" width="0" style="136" hidden="1" customWidth="1"/>
  </cols>
  <sheetData>
    <row r="1" spans="1:11" ht="12.75" customHeight="1">
      <c r="A1" s="156">
        <v>1</v>
      </c>
      <c r="B1" s="800" t="s">
        <v>605</v>
      </c>
      <c r="C1" s="800"/>
      <c r="D1" s="800"/>
      <c r="E1" s="800"/>
      <c r="F1" s="800"/>
      <c r="G1" s="800"/>
      <c r="H1" s="800"/>
      <c r="I1" s="800"/>
      <c r="J1" s="520"/>
      <c r="K1" s="137" t="s">
        <v>701</v>
      </c>
    </row>
    <row r="2" spans="2:11" ht="12.75" customHeight="1">
      <c r="B2" s="800" t="str">
        <f>'ТИП-ПРОИЗ'!$B$3</f>
        <v>"Топлофикация- ....................." ЕАД</v>
      </c>
      <c r="C2" s="800"/>
      <c r="D2" s="800"/>
      <c r="E2" s="800"/>
      <c r="F2" s="800"/>
      <c r="G2" s="800"/>
      <c r="H2" s="800"/>
      <c r="I2" s="800"/>
      <c r="J2" s="520"/>
      <c r="K2" s="520"/>
    </row>
    <row r="3" ht="12.75"/>
    <row r="4" spans="1:11" ht="12.75">
      <c r="A4" s="157" t="s">
        <v>0</v>
      </c>
      <c r="B4" s="158" t="s">
        <v>391</v>
      </c>
      <c r="C4" s="157" t="s">
        <v>384</v>
      </c>
      <c r="D4" s="798">
        <f>IF(D6=0,0,(D6/D8-D7)*860/D6)</f>
        <v>0</v>
      </c>
      <c r="E4" s="798"/>
      <c r="F4" s="798"/>
      <c r="G4" s="798"/>
      <c r="H4" s="798"/>
      <c r="I4" s="798"/>
      <c r="J4" s="798"/>
      <c r="K4" s="798"/>
    </row>
    <row r="5" spans="1:11" ht="12.75">
      <c r="A5" s="148">
        <v>1</v>
      </c>
      <c r="B5" s="148" t="s">
        <v>465</v>
      </c>
      <c r="C5" s="111"/>
      <c r="D5" s="111" t="s">
        <v>152</v>
      </c>
      <c r="E5" s="111" t="s">
        <v>235</v>
      </c>
      <c r="F5" s="111" t="s">
        <v>236</v>
      </c>
      <c r="G5" s="111" t="s">
        <v>237</v>
      </c>
      <c r="H5" s="111" t="s">
        <v>238</v>
      </c>
      <c r="I5" s="111" t="s">
        <v>239</v>
      </c>
      <c r="J5" s="111" t="s">
        <v>240</v>
      </c>
      <c r="K5" s="111" t="s">
        <v>448</v>
      </c>
    </row>
    <row r="6" spans="1:11" ht="12.75">
      <c r="A6" s="111" t="s">
        <v>259</v>
      </c>
      <c r="B6" s="159" t="s">
        <v>667</v>
      </c>
      <c r="C6" s="111" t="s">
        <v>242</v>
      </c>
      <c r="D6" s="160">
        <f>SUM(E6:K6)</f>
        <v>0</v>
      </c>
      <c r="E6" s="66"/>
      <c r="F6" s="66"/>
      <c r="G6" s="66"/>
      <c r="H6" s="66"/>
      <c r="I6" s="66"/>
      <c r="J6" s="66"/>
      <c r="K6" s="66"/>
    </row>
    <row r="7" spans="1:11" ht="12.75">
      <c r="A7" s="111" t="s">
        <v>260</v>
      </c>
      <c r="B7" s="159" t="s">
        <v>163</v>
      </c>
      <c r="C7" s="111" t="s">
        <v>241</v>
      </c>
      <c r="D7" s="160">
        <f>SUM(E7:K7)</f>
        <v>0</v>
      </c>
      <c r="E7" s="66"/>
      <c r="F7" s="66"/>
      <c r="G7" s="66"/>
      <c r="H7" s="66"/>
      <c r="I7" s="66"/>
      <c r="J7" s="66"/>
      <c r="K7" s="66"/>
    </row>
    <row r="8" spans="1:11" ht="12.75">
      <c r="A8" s="111" t="s">
        <v>261</v>
      </c>
      <c r="B8" s="159" t="s">
        <v>243</v>
      </c>
      <c r="C8" s="111" t="s">
        <v>7</v>
      </c>
      <c r="D8" s="161">
        <f>IF(D6=0,0,SUMPRODUCT(E8:K8,E6:K6)/D6)</f>
        <v>0</v>
      </c>
      <c r="E8" s="67"/>
      <c r="F8" s="67"/>
      <c r="G8" s="67"/>
      <c r="H8" s="67"/>
      <c r="I8" s="67"/>
      <c r="J8" s="67"/>
      <c r="K8" s="67"/>
    </row>
    <row r="9" spans="1:11" ht="12.75">
      <c r="A9" s="111" t="s">
        <v>262</v>
      </c>
      <c r="B9" s="159" t="s">
        <v>244</v>
      </c>
      <c r="C9" s="111" t="s">
        <v>7</v>
      </c>
      <c r="D9" s="161">
        <f>IF(D7=0,0,SUMPRODUCT(E9:K9,E7:K7)/D7)</f>
        <v>0</v>
      </c>
      <c r="E9" s="67"/>
      <c r="F9" s="67"/>
      <c r="G9" s="67"/>
      <c r="H9" s="67"/>
      <c r="I9" s="67"/>
      <c r="J9" s="67"/>
      <c r="K9" s="67"/>
    </row>
    <row r="10" spans="1:11" ht="12.75">
      <c r="A10" s="111" t="s">
        <v>263</v>
      </c>
      <c r="B10" s="159" t="s">
        <v>392</v>
      </c>
      <c r="C10" s="111" t="s">
        <v>7</v>
      </c>
      <c r="D10" s="162">
        <f>SUM(D8:D9)</f>
        <v>0</v>
      </c>
      <c r="E10" s="162">
        <f aca="true" t="shared" si="0" ref="E10:J10">SUM(E8:E9)</f>
        <v>0</v>
      </c>
      <c r="F10" s="162">
        <f t="shared" si="0"/>
        <v>0</v>
      </c>
      <c r="G10" s="162">
        <f t="shared" si="0"/>
        <v>0</v>
      </c>
      <c r="H10" s="162">
        <f t="shared" si="0"/>
        <v>0</v>
      </c>
      <c r="I10" s="162">
        <f t="shared" si="0"/>
        <v>0</v>
      </c>
      <c r="J10" s="162">
        <f t="shared" si="0"/>
        <v>0</v>
      </c>
      <c r="K10" s="162">
        <f>SUM(K8:K9)</f>
        <v>0</v>
      </c>
    </row>
    <row r="11" ht="12.75"/>
    <row r="12" spans="2:11" ht="12.75">
      <c r="B12" s="799" t="s">
        <v>464</v>
      </c>
      <c r="C12" s="799"/>
      <c r="D12" s="799"/>
      <c r="E12" s="799"/>
      <c r="F12" s="799"/>
      <c r="G12" s="799"/>
      <c r="H12" s="799"/>
      <c r="I12" s="799"/>
      <c r="J12" s="799"/>
      <c r="K12" s="799"/>
    </row>
    <row r="13" ht="12.75"/>
    <row r="14" spans="1:11" ht="12.75">
      <c r="A14" s="157" t="s">
        <v>0</v>
      </c>
      <c r="B14" s="148" t="s">
        <v>465</v>
      </c>
      <c r="C14" s="157" t="s">
        <v>384</v>
      </c>
      <c r="D14" s="805">
        <f>IF(D16=0,0,IF(D29=0,SUM(D16/D17,D26,D37/D39,-D22,-D42,-D43)*860/SUM(D16,D41),SUM(D16/D17,D26,-D30,-D31)*860/SUM(D16,D29)))</f>
        <v>0</v>
      </c>
      <c r="E14" s="806"/>
      <c r="F14" s="806"/>
      <c r="G14" s="806"/>
      <c r="H14" s="807"/>
      <c r="I14" s="802">
        <f>IF(I16=0,0,SUM(I16/I17,I26,-I19)*860/I16)</f>
        <v>0</v>
      </c>
      <c r="J14" s="803"/>
      <c r="K14" s="804"/>
    </row>
    <row r="15" spans="1:12" ht="12.75">
      <c r="A15" s="148">
        <v>2</v>
      </c>
      <c r="B15" s="483" t="s">
        <v>463</v>
      </c>
      <c r="C15" s="111"/>
      <c r="D15" s="422" t="s">
        <v>152</v>
      </c>
      <c r="E15" s="111" t="s">
        <v>272</v>
      </c>
      <c r="F15" s="111"/>
      <c r="G15" s="111"/>
      <c r="H15" s="111"/>
      <c r="I15" s="484" t="s">
        <v>152</v>
      </c>
      <c r="J15" s="111" t="s">
        <v>272</v>
      </c>
      <c r="K15" s="111" t="s">
        <v>273</v>
      </c>
      <c r="L15" s="68"/>
    </row>
    <row r="16" spans="1:12" ht="12.75">
      <c r="A16" s="111" t="s">
        <v>275</v>
      </c>
      <c r="B16" s="159" t="s">
        <v>668</v>
      </c>
      <c r="C16" s="111" t="s">
        <v>242</v>
      </c>
      <c r="D16" s="485">
        <f>SUM(E16:H16)</f>
        <v>0</v>
      </c>
      <c r="E16" s="486"/>
      <c r="F16" s="486"/>
      <c r="G16" s="486"/>
      <c r="H16" s="486"/>
      <c r="I16" s="485">
        <f>SUM(J16:K16)</f>
        <v>0</v>
      </c>
      <c r="J16" s="486"/>
      <c r="K16" s="486"/>
      <c r="L16" s="68"/>
    </row>
    <row r="17" spans="1:12" ht="12.75">
      <c r="A17" s="111" t="s">
        <v>276</v>
      </c>
      <c r="B17" s="159" t="s">
        <v>274</v>
      </c>
      <c r="C17" s="111" t="s">
        <v>7</v>
      </c>
      <c r="D17" s="161">
        <f>IF(D16=0,0,SUMPRODUCT(E16:H16,E17:H17)/D16)</f>
        <v>0</v>
      </c>
      <c r="E17" s="67"/>
      <c r="F17" s="67"/>
      <c r="G17" s="67"/>
      <c r="H17" s="67"/>
      <c r="I17" s="161">
        <f>IF(I16=0,0,SUMPRODUCT(J16:K16,J17:K17)/I16)</f>
        <v>0</v>
      </c>
      <c r="J17" s="67"/>
      <c r="K17" s="67"/>
      <c r="L17" s="68"/>
    </row>
    <row r="18" spans="1:12" ht="12.75">
      <c r="A18" s="148">
        <v>3</v>
      </c>
      <c r="B18" s="159" t="s">
        <v>657</v>
      </c>
      <c r="C18" s="111"/>
      <c r="D18" s="161"/>
      <c r="E18" s="487" t="s">
        <v>655</v>
      </c>
      <c r="F18" s="487"/>
      <c r="G18" s="487"/>
      <c r="H18" s="487"/>
      <c r="I18" s="161"/>
      <c r="J18" s="487" t="s">
        <v>655</v>
      </c>
      <c r="K18" s="487" t="s">
        <v>656</v>
      </c>
      <c r="L18" s="68"/>
    </row>
    <row r="19" spans="1:12" ht="12.75">
      <c r="A19" s="111" t="s">
        <v>264</v>
      </c>
      <c r="B19" s="159" t="s">
        <v>446</v>
      </c>
      <c r="C19" s="111" t="s">
        <v>241</v>
      </c>
      <c r="D19" s="485">
        <f>SUM(E19:H19)</f>
        <v>0</v>
      </c>
      <c r="E19" s="488">
        <f>SUM(E20:E22)</f>
        <v>0</v>
      </c>
      <c r="F19" s="488">
        <f>SUM(F20:F22)</f>
        <v>0</v>
      </c>
      <c r="G19" s="488">
        <f>SUM(G20:G22)</f>
        <v>0</v>
      </c>
      <c r="H19" s="488">
        <f>SUM(H20:H22)</f>
        <v>0</v>
      </c>
      <c r="I19" s="485">
        <f>SUM(J19:K19)</f>
        <v>0</v>
      </c>
      <c r="J19" s="488">
        <f>SUM(J20:J22)</f>
        <v>0</v>
      </c>
      <c r="K19" s="488">
        <f>SUM(K20:K22)</f>
        <v>0</v>
      </c>
      <c r="L19" s="68"/>
    </row>
    <row r="20" spans="1:12" ht="12.75">
      <c r="A20" s="111" t="s">
        <v>265</v>
      </c>
      <c r="B20" s="159" t="s">
        <v>450</v>
      </c>
      <c r="C20" s="111" t="s">
        <v>241</v>
      </c>
      <c r="D20" s="485">
        <f>SUM(E20:H20)</f>
        <v>0</v>
      </c>
      <c r="E20" s="486"/>
      <c r="F20" s="486"/>
      <c r="G20" s="486"/>
      <c r="H20" s="486"/>
      <c r="I20" s="485">
        <f>SUM(J20:K20)</f>
        <v>0</v>
      </c>
      <c r="J20" s="486"/>
      <c r="K20" s="486"/>
      <c r="L20" s="68"/>
    </row>
    <row r="21" spans="1:12" ht="12.75">
      <c r="A21" s="111" t="s">
        <v>555</v>
      </c>
      <c r="B21" s="159" t="s">
        <v>449</v>
      </c>
      <c r="C21" s="111" t="s">
        <v>241</v>
      </c>
      <c r="D21" s="485">
        <f>SUM(E21:H21)</f>
        <v>0</v>
      </c>
      <c r="E21" s="486"/>
      <c r="F21" s="486"/>
      <c r="G21" s="486"/>
      <c r="H21" s="486"/>
      <c r="I21" s="485">
        <f>SUM(J21:K21)</f>
        <v>0</v>
      </c>
      <c r="J21" s="486"/>
      <c r="K21" s="486"/>
      <c r="L21" s="68"/>
    </row>
    <row r="22" spans="1:12" ht="12.75">
      <c r="A22" s="111" t="s">
        <v>603</v>
      </c>
      <c r="B22" s="159" t="s">
        <v>451</v>
      </c>
      <c r="C22" s="111" t="s">
        <v>241</v>
      </c>
      <c r="D22" s="485">
        <f>SUM(E22:H22)</f>
        <v>0</v>
      </c>
      <c r="E22" s="486"/>
      <c r="F22" s="486"/>
      <c r="G22" s="486"/>
      <c r="H22" s="486"/>
      <c r="I22" s="485">
        <f>SUM(J22:K22)</f>
        <v>0</v>
      </c>
      <c r="J22" s="486"/>
      <c r="K22" s="486"/>
      <c r="L22" s="68"/>
    </row>
    <row r="23" spans="1:12" ht="12.75">
      <c r="A23" s="111" t="s">
        <v>556</v>
      </c>
      <c r="B23" s="159" t="s">
        <v>447</v>
      </c>
      <c r="C23" s="111" t="s">
        <v>7</v>
      </c>
      <c r="D23" s="161">
        <f aca="true" t="shared" si="1" ref="D23:K23">IF(D17=0,0,IF((D16/D17)=0,0,SUM(D21:D22)/(D16/D17)))</f>
        <v>0</v>
      </c>
      <c r="E23" s="161">
        <f t="shared" si="1"/>
        <v>0</v>
      </c>
      <c r="F23" s="161">
        <f t="shared" si="1"/>
        <v>0</v>
      </c>
      <c r="G23" s="161">
        <f t="shared" si="1"/>
        <v>0</v>
      </c>
      <c r="H23" s="161">
        <f t="shared" si="1"/>
        <v>0</v>
      </c>
      <c r="I23" s="161">
        <f t="shared" si="1"/>
        <v>0</v>
      </c>
      <c r="J23" s="161">
        <f t="shared" si="1"/>
        <v>0</v>
      </c>
      <c r="K23" s="161">
        <f t="shared" si="1"/>
        <v>0</v>
      </c>
      <c r="L23" s="68"/>
    </row>
    <row r="24" spans="1:12" ht="12.75">
      <c r="A24" s="111" t="s">
        <v>557</v>
      </c>
      <c r="B24" s="159" t="s">
        <v>319</v>
      </c>
      <c r="C24" s="111" t="s">
        <v>162</v>
      </c>
      <c r="D24" s="485">
        <f>SUM(E24:H24)</f>
        <v>0</v>
      </c>
      <c r="E24" s="489"/>
      <c r="F24" s="489"/>
      <c r="G24" s="489"/>
      <c r="H24" s="489"/>
      <c r="I24" s="485">
        <f>SUM(J24:K24)</f>
        <v>0</v>
      </c>
      <c r="J24" s="489"/>
      <c r="K24" s="489"/>
      <c r="L24" s="68"/>
    </row>
    <row r="25" spans="1:12" ht="12.75">
      <c r="A25" s="111" t="s">
        <v>558</v>
      </c>
      <c r="B25" s="159" t="s">
        <v>320</v>
      </c>
      <c r="C25" s="111" t="s">
        <v>162</v>
      </c>
      <c r="D25" s="485">
        <f>SUM(E25:H25)</f>
        <v>0</v>
      </c>
      <c r="E25" s="489"/>
      <c r="F25" s="489"/>
      <c r="G25" s="489"/>
      <c r="H25" s="489"/>
      <c r="I25" s="485">
        <f>SUM(J25:K25)</f>
        <v>0</v>
      </c>
      <c r="J25" s="489"/>
      <c r="K25" s="489"/>
      <c r="L25" s="68"/>
    </row>
    <row r="26" spans="1:12" ht="12.75">
      <c r="A26" s="111" t="s">
        <v>658</v>
      </c>
      <c r="B26" s="159" t="s">
        <v>653</v>
      </c>
      <c r="C26" s="481" t="s">
        <v>164</v>
      </c>
      <c r="D26" s="485">
        <f>SUM(E26:H26)</f>
        <v>0</v>
      </c>
      <c r="E26" s="489"/>
      <c r="F26" s="489"/>
      <c r="G26" s="489"/>
      <c r="H26" s="489"/>
      <c r="I26" s="485"/>
      <c r="J26" s="489"/>
      <c r="K26" s="489"/>
      <c r="L26" s="68"/>
    </row>
    <row r="27" spans="1:12" ht="12.75">
      <c r="A27" s="111" t="s">
        <v>559</v>
      </c>
      <c r="B27" s="159" t="s">
        <v>665</v>
      </c>
      <c r="C27" s="481" t="s">
        <v>7</v>
      </c>
      <c r="D27" s="490">
        <f aca="true" t="shared" si="2" ref="D27:K27">IF(D16=0,0,IF((1-D17)=0,0,IF(D17=0,0,D19/(D16*(1-D17)/D17+D26))))</f>
        <v>0</v>
      </c>
      <c r="E27" s="490">
        <f t="shared" si="2"/>
        <v>0</v>
      </c>
      <c r="F27" s="490">
        <f t="shared" si="2"/>
        <v>0</v>
      </c>
      <c r="G27" s="490">
        <f t="shared" si="2"/>
        <v>0</v>
      </c>
      <c r="H27" s="490">
        <f t="shared" si="2"/>
        <v>0</v>
      </c>
      <c r="I27" s="490">
        <f t="shared" si="2"/>
        <v>0</v>
      </c>
      <c r="J27" s="490">
        <f t="shared" si="2"/>
        <v>0</v>
      </c>
      <c r="K27" s="490">
        <f t="shared" si="2"/>
        <v>0</v>
      </c>
      <c r="L27" s="68"/>
    </row>
    <row r="28" spans="1:12" ht="12.75">
      <c r="A28" s="111">
        <v>4</v>
      </c>
      <c r="B28" s="159" t="s">
        <v>660</v>
      </c>
      <c r="C28" s="481"/>
      <c r="D28" s="161"/>
      <c r="E28" s="111" t="s">
        <v>710</v>
      </c>
      <c r="F28" s="111"/>
      <c r="G28" s="111"/>
      <c r="H28" s="111"/>
      <c r="I28" s="808"/>
      <c r="J28" s="811"/>
      <c r="K28" s="811"/>
      <c r="L28" s="68"/>
    </row>
    <row r="29" spans="1:12" ht="12.75">
      <c r="A29" s="111" t="s">
        <v>252</v>
      </c>
      <c r="B29" s="159" t="s">
        <v>669</v>
      </c>
      <c r="C29" s="481" t="s">
        <v>242</v>
      </c>
      <c r="D29" s="485">
        <f>SUM(E29:H29)</f>
        <v>0</v>
      </c>
      <c r="E29" s="486"/>
      <c r="F29" s="486"/>
      <c r="G29" s="486"/>
      <c r="H29" s="486"/>
      <c r="I29" s="809"/>
      <c r="J29" s="812"/>
      <c r="K29" s="812"/>
      <c r="L29" s="68"/>
    </row>
    <row r="30" spans="1:12" ht="12.75">
      <c r="A30" s="111" t="s">
        <v>253</v>
      </c>
      <c r="B30" s="159" t="s">
        <v>456</v>
      </c>
      <c r="C30" s="481" t="s">
        <v>241</v>
      </c>
      <c r="D30" s="485">
        <f>SUM(E30:H30)</f>
        <v>0</v>
      </c>
      <c r="E30" s="489"/>
      <c r="F30" s="489"/>
      <c r="G30" s="489"/>
      <c r="H30" s="489"/>
      <c r="I30" s="809"/>
      <c r="J30" s="812"/>
      <c r="K30" s="812"/>
      <c r="L30" s="68"/>
    </row>
    <row r="31" spans="1:12" ht="12.75">
      <c r="A31" s="111" t="s">
        <v>560</v>
      </c>
      <c r="B31" s="159" t="s">
        <v>457</v>
      </c>
      <c r="C31" s="481" t="s">
        <v>241</v>
      </c>
      <c r="D31" s="485">
        <f>SUM(E31:H31)</f>
        <v>0</v>
      </c>
      <c r="E31" s="489"/>
      <c r="F31" s="489"/>
      <c r="G31" s="489"/>
      <c r="H31" s="489"/>
      <c r="I31" s="809"/>
      <c r="J31" s="812"/>
      <c r="K31" s="812"/>
      <c r="L31" s="68"/>
    </row>
    <row r="32" spans="1:12" ht="12.75">
      <c r="A32" s="111" t="s">
        <v>561</v>
      </c>
      <c r="B32" s="491" t="s">
        <v>459</v>
      </c>
      <c r="C32" s="111" t="s">
        <v>162</v>
      </c>
      <c r="D32" s="485">
        <f>SUM(E32:H32)</f>
        <v>0</v>
      </c>
      <c r="E32" s="489"/>
      <c r="F32" s="489"/>
      <c r="G32" s="489"/>
      <c r="H32" s="489"/>
      <c r="I32" s="809"/>
      <c r="J32" s="812"/>
      <c r="K32" s="812"/>
      <c r="L32" s="68"/>
    </row>
    <row r="33" spans="1:12" ht="12.75">
      <c r="A33" s="111" t="s">
        <v>562</v>
      </c>
      <c r="B33" s="491" t="s">
        <v>458</v>
      </c>
      <c r="C33" s="111" t="s">
        <v>162</v>
      </c>
      <c r="D33" s="485">
        <f>SUM(E33:H33)</f>
        <v>0</v>
      </c>
      <c r="E33" s="489"/>
      <c r="F33" s="489"/>
      <c r="G33" s="489"/>
      <c r="H33" s="489"/>
      <c r="I33" s="810"/>
      <c r="J33" s="813"/>
      <c r="K33" s="813"/>
      <c r="L33" s="68"/>
    </row>
    <row r="34" spans="1:12" ht="14.25">
      <c r="A34" s="111" t="s">
        <v>563</v>
      </c>
      <c r="B34" s="482" t="s">
        <v>670</v>
      </c>
      <c r="C34" s="111" t="s">
        <v>599</v>
      </c>
      <c r="D34" s="116">
        <f>IF(D29=0,0,IF(D17=0,0,IF(SUM(D16,D29)=0,0,SUM(D16/D17,D26,-D22,-D30,-D31)/SUM(D16,D29)*1000)))</f>
        <v>0</v>
      </c>
      <c r="E34" s="116">
        <f>IF(E29=0,0,IF(E17=0,0,IF(SUM(E16,E29)=0,0,SUM(E16/E17,E26,-E22,-E30,-E31)/SUM(E16,E29)*1000)))</f>
        <v>0</v>
      </c>
      <c r="F34" s="116">
        <f>IF(F29=0,0,IF(F17=0,0,IF(SUM(F16,F29)=0,0,SUM(F16/F17,F26,-F22,-F30,-F31)/SUM(F16,F29)*1000)))</f>
        <v>0</v>
      </c>
      <c r="G34" s="116">
        <f>IF(G29=0,0,IF(G17=0,0,IF(SUM(G16,G29)=0,0,SUM(G16/G17,G26,-G22,-G30,-G31)/SUM(G16,G29)*1000)))</f>
        <v>0</v>
      </c>
      <c r="H34" s="116">
        <f>IF(H29=0,0,IF(H17=0,0,IF(SUM(H16,H29)=0,0,SUM(H16/H17,H26,-H22,-H30,-H31)/SUM(H16,H29)*1000)))</f>
        <v>0</v>
      </c>
      <c r="I34" s="116">
        <f>IF(I17=0,0,IF(I16=0,0,SUM(I16/I17,I26,-I20,-I21,-I22)*860/I16))</f>
        <v>0</v>
      </c>
      <c r="J34" s="116">
        <f>IF(J17=0,0,IF(J16=0,0,SUM(J16/J17,J26,-J20,-J21,-J22)*860/J16))</f>
        <v>0</v>
      </c>
      <c r="K34" s="116">
        <f>IF(K17=0,0,IF(K16=0,0,SUM(K16/K17,K26,-K20,-K21,-K22)*860/K16))</f>
        <v>0</v>
      </c>
      <c r="L34" s="68"/>
    </row>
    <row r="35" spans="1:12" ht="12.75">
      <c r="A35" s="148">
        <v>5</v>
      </c>
      <c r="B35" s="159" t="s">
        <v>392</v>
      </c>
      <c r="C35" s="111" t="s">
        <v>7</v>
      </c>
      <c r="D35" s="162">
        <f>IF(D17=0,0,IF(D29=0,0,IF(SUM(D16/D17,D26)=0,0,SUM(D16,D29,D22,D30:D31)/SUM(D16/D17,D26))))</f>
        <v>0</v>
      </c>
      <c r="E35" s="162">
        <f>IF(E17=0,0,IF(E29=0,0,IF(SUM(E16/E17,E26)=0,0,SUM(E16,E29,E22,E30:E31)/SUM(E16/E17,E26))))</f>
        <v>0</v>
      </c>
      <c r="F35" s="162">
        <f>IF(F17=0,0,IF(F29=0,0,IF(SUM(F16/F17,F26)=0,0,SUM(F16,F29,F22,F30:F31)/SUM(F16/F17,F26))))</f>
        <v>0</v>
      </c>
      <c r="G35" s="162">
        <f>IF(G17=0,0,IF(G29=0,0,IF(SUM(G16/G17,G26)=0,0,SUM(G16,G29,G22,G30:G31)/SUM(G16/G17,G26))))</f>
        <v>0</v>
      </c>
      <c r="H35" s="162">
        <f>IF(H17=0,0,IF(H29=0,0,IF(SUM(H16/H17,H26)=0,0,SUM(H16,H29,H22,H30:H31)/SUM(H16/H17,H26))))</f>
        <v>0</v>
      </c>
      <c r="I35" s="163">
        <f>SUM(I17,I23)</f>
        <v>0</v>
      </c>
      <c r="J35" s="162">
        <f>SUM(J17,J23)</f>
        <v>0</v>
      </c>
      <c r="K35" s="162">
        <f>SUM(K17,K23)</f>
        <v>0</v>
      </c>
      <c r="L35" s="68"/>
    </row>
    <row r="36" spans="1:12" ht="12.75">
      <c r="A36" s="111">
        <v>6</v>
      </c>
      <c r="B36" s="159" t="s">
        <v>659</v>
      </c>
      <c r="C36" s="481"/>
      <c r="D36" s="485"/>
      <c r="E36" s="492" t="s">
        <v>460</v>
      </c>
      <c r="F36" s="492" t="s">
        <v>461</v>
      </c>
      <c r="G36" s="492" t="s">
        <v>462</v>
      </c>
      <c r="H36" s="492" t="s">
        <v>654</v>
      </c>
      <c r="L36" s="68"/>
    </row>
    <row r="37" spans="1:12" ht="12.75">
      <c r="A37" s="111" t="s">
        <v>504</v>
      </c>
      <c r="B37" s="159" t="s">
        <v>452</v>
      </c>
      <c r="C37" s="481" t="s">
        <v>241</v>
      </c>
      <c r="D37" s="485">
        <f>SUM(E37:H37)</f>
        <v>0</v>
      </c>
      <c r="E37" s="489"/>
      <c r="F37" s="489"/>
      <c r="G37" s="489"/>
      <c r="H37" s="489"/>
      <c r="L37" s="68"/>
    </row>
    <row r="38" spans="1:12" ht="12.75">
      <c r="A38" s="111" t="s">
        <v>505</v>
      </c>
      <c r="B38" s="159" t="s">
        <v>453</v>
      </c>
      <c r="C38" s="481" t="s">
        <v>162</v>
      </c>
      <c r="D38" s="485">
        <f>SUM(E38:H38)</f>
        <v>0</v>
      </c>
      <c r="E38" s="489"/>
      <c r="F38" s="489"/>
      <c r="G38" s="489"/>
      <c r="H38" s="489"/>
      <c r="L38" s="68"/>
    </row>
    <row r="39" spans="1:12" ht="12.75">
      <c r="A39" s="111" t="s">
        <v>662</v>
      </c>
      <c r="B39" s="493" t="s">
        <v>455</v>
      </c>
      <c r="C39" s="481" t="s">
        <v>7</v>
      </c>
      <c r="D39" s="161">
        <f>IF(D37=0,0,SUMPRODUCT(E37:H37,E39:H39)/D37)</f>
        <v>0</v>
      </c>
      <c r="E39" s="67"/>
      <c r="F39" s="67"/>
      <c r="G39" s="67"/>
      <c r="H39" s="67"/>
      <c r="L39" s="68"/>
    </row>
    <row r="40" spans="1:12" ht="12.75">
      <c r="A40" s="111">
        <v>7</v>
      </c>
      <c r="B40" s="159" t="s">
        <v>661</v>
      </c>
      <c r="C40" s="481"/>
      <c r="D40" s="161"/>
      <c r="E40" s="111" t="s">
        <v>593</v>
      </c>
      <c r="F40" s="111" t="s">
        <v>594</v>
      </c>
      <c r="G40" s="111" t="s">
        <v>595</v>
      </c>
      <c r="H40" s="111" t="s">
        <v>596</v>
      </c>
      <c r="L40" s="68"/>
    </row>
    <row r="41" spans="1:12" ht="12.75">
      <c r="A41" s="111" t="s">
        <v>510</v>
      </c>
      <c r="B41" s="493" t="s">
        <v>454</v>
      </c>
      <c r="C41" s="481" t="s">
        <v>242</v>
      </c>
      <c r="D41" s="485">
        <f>SUM(E41:H41)</f>
        <v>0</v>
      </c>
      <c r="E41" s="486"/>
      <c r="F41" s="486"/>
      <c r="G41" s="486"/>
      <c r="H41" s="486"/>
      <c r="L41" s="68"/>
    </row>
    <row r="42" spans="1:12" ht="12.75">
      <c r="A42" s="111" t="s">
        <v>511</v>
      </c>
      <c r="B42" s="159" t="s">
        <v>456</v>
      </c>
      <c r="C42" s="481" t="s">
        <v>241</v>
      </c>
      <c r="D42" s="485">
        <f>SUM(E42:H42)</f>
        <v>0</v>
      </c>
      <c r="E42" s="489"/>
      <c r="F42" s="489"/>
      <c r="G42" s="489"/>
      <c r="H42" s="489"/>
      <c r="L42" s="68"/>
    </row>
    <row r="43" spans="1:12" ht="12.75">
      <c r="A43" s="111" t="s">
        <v>512</v>
      </c>
      <c r="B43" s="159" t="s">
        <v>457</v>
      </c>
      <c r="C43" s="481" t="s">
        <v>241</v>
      </c>
      <c r="D43" s="485">
        <f>SUM(E43:H43)</f>
        <v>0</v>
      </c>
      <c r="E43" s="489"/>
      <c r="F43" s="489"/>
      <c r="G43" s="489"/>
      <c r="H43" s="489"/>
      <c r="L43" s="68"/>
    </row>
    <row r="44" spans="1:12" ht="12.75">
      <c r="A44" s="111" t="s">
        <v>663</v>
      </c>
      <c r="B44" s="491" t="s">
        <v>459</v>
      </c>
      <c r="C44" s="111" t="s">
        <v>162</v>
      </c>
      <c r="D44" s="485">
        <f>SUM(E44:H44)</f>
        <v>0</v>
      </c>
      <c r="E44" s="489"/>
      <c r="F44" s="489"/>
      <c r="G44" s="489"/>
      <c r="H44" s="489"/>
      <c r="L44" s="68"/>
    </row>
    <row r="45" spans="1:12" ht="12.75">
      <c r="A45" s="111" t="s">
        <v>664</v>
      </c>
      <c r="B45" s="491" t="s">
        <v>458</v>
      </c>
      <c r="C45" s="111" t="s">
        <v>162</v>
      </c>
      <c r="D45" s="485">
        <f>SUM(E45:H45)</f>
        <v>0</v>
      </c>
      <c r="E45" s="489"/>
      <c r="F45" s="489"/>
      <c r="G45" s="489"/>
      <c r="H45" s="489"/>
      <c r="L45" s="68"/>
    </row>
    <row r="46" spans="1:12" ht="14.25">
      <c r="A46" s="111" t="s">
        <v>671</v>
      </c>
      <c r="B46" s="482" t="s">
        <v>670</v>
      </c>
      <c r="C46" s="111" t="s">
        <v>599</v>
      </c>
      <c r="D46" s="116">
        <f>IF(D41=0,0,IF($D$17=0,0,IF(D39=0,0,SUM($D$16/$D$17,D26,-$D$22,D37/D39,-D42,-D43)*860/SUM($D$16,D41))))</f>
        <v>0</v>
      </c>
      <c r="E46" s="116">
        <f>IF(E41=0,0,IF($E$17=0,0,IF(COUNT($E$37:$H$37)=0,0,IF(E39=0,0,SUM(($E$16/$E$17-$E$22)/COUNT($E$37:$H$37),E37/E39,-E42,-E43)*860/SUM($E$16,E41)))))</f>
        <v>0</v>
      </c>
      <c r="F46" s="116">
        <f>IF(F41=0,0,IF($E$17=0,0,IF(COUNT($E$37:$H$37)=0,0,IF(F39=0,0,SUM(($E$16/$E$17-$E$22)/COUNT($E$37:$H$37),F37/F39,-F42,-F43)*860/SUM($E$16,F41)))))</f>
        <v>0</v>
      </c>
      <c r="G46" s="116">
        <f>IF(G41=0,0,IF($E$17=0,0,IF(COUNT($E$37:$H$37)=0,0,IF(G39=0,0,SUM(($E$16/$E$17-$E$22)/COUNT($E$37:$H$37),G37/G39,-G42,-G43)*860/SUM($E$16,G41)))))</f>
        <v>0</v>
      </c>
      <c r="H46" s="116">
        <f>IF(H41=0,0,IF($E$17=0,0,IF(COUNT($E$37:$H$37)=0,0,IF(H39=0,0,SUM(($E$16/$E$17-$E$22)/COUNT($E$37:$H$37),H37/H39,-H42,-H43)*860/SUM($E$16,H41)))))</f>
        <v>0</v>
      </c>
      <c r="L46" s="68"/>
    </row>
    <row r="47" spans="1:12" ht="12.75">
      <c r="A47" s="111">
        <v>8</v>
      </c>
      <c r="B47" s="159" t="s">
        <v>392</v>
      </c>
      <c r="C47" s="111" t="s">
        <v>7</v>
      </c>
      <c r="D47" s="162">
        <f>IF(D37=0,0,IF(D39=0,0,SUM(D41:D43)/(D37/D39)))</f>
        <v>0</v>
      </c>
      <c r="E47" s="162">
        <f>IF(E37=0,0,IF(E39=0,0,SUM(E41:E43)/(E37/E39)))</f>
        <v>0</v>
      </c>
      <c r="F47" s="162">
        <f>IF(F37=0,0,IF(F39=0,0,SUM(F41:F43)/(F37/F39)))</f>
        <v>0</v>
      </c>
      <c r="G47" s="162">
        <f>IF(G37=0,0,IF(G39=0,0,SUM(G41:G43)/(G37/G39)))</f>
        <v>0</v>
      </c>
      <c r="H47" s="162">
        <f>IF(H37=0,0,IF(H39=0,0,SUM(H41:H43)/(H37/H39)))</f>
        <v>0</v>
      </c>
      <c r="L47" s="68"/>
    </row>
    <row r="48" ht="12.75"/>
    <row r="49" spans="2:11" ht="12.75">
      <c r="B49" s="747" t="s">
        <v>600</v>
      </c>
      <c r="C49" s="747"/>
      <c r="D49" s="747"/>
      <c r="E49" s="747"/>
      <c r="F49" s="747"/>
      <c r="G49" s="747"/>
      <c r="H49" s="747"/>
      <c r="I49" s="747"/>
      <c r="J49" s="747"/>
      <c r="K49" s="747"/>
    </row>
    <row r="50" ht="12.75"/>
    <row r="51" spans="1:11" ht="12.75">
      <c r="A51" s="157" t="s">
        <v>0</v>
      </c>
      <c r="B51" s="148" t="s">
        <v>465</v>
      </c>
      <c r="C51" s="494"/>
      <c r="D51" s="801" t="s">
        <v>666</v>
      </c>
      <c r="E51" s="801"/>
      <c r="F51" s="801"/>
      <c r="G51" s="801"/>
      <c r="H51" s="801"/>
      <c r="I51" s="801"/>
      <c r="J51" s="801"/>
      <c r="K51" s="801"/>
    </row>
    <row r="52" spans="1:11" ht="12.75">
      <c r="A52" s="111">
        <v>3</v>
      </c>
      <c r="B52" s="495" t="s">
        <v>581</v>
      </c>
      <c r="C52" s="111" t="s">
        <v>161</v>
      </c>
      <c r="D52" s="422" t="s">
        <v>152</v>
      </c>
      <c r="E52" s="111" t="s">
        <v>582</v>
      </c>
      <c r="F52" s="111" t="s">
        <v>583</v>
      </c>
      <c r="G52" s="111" t="s">
        <v>584</v>
      </c>
      <c r="H52" s="111" t="s">
        <v>585</v>
      </c>
      <c r="I52" s="111" t="s">
        <v>586</v>
      </c>
      <c r="J52" s="111" t="s">
        <v>587</v>
      </c>
      <c r="K52" s="111" t="s">
        <v>601</v>
      </c>
    </row>
    <row r="53" spans="1:11" ht="12.75">
      <c r="A53" s="111" t="s">
        <v>264</v>
      </c>
      <c r="B53" s="482" t="s">
        <v>588</v>
      </c>
      <c r="C53" s="111"/>
      <c r="D53" s="123"/>
      <c r="E53" s="496"/>
      <c r="F53" s="496"/>
      <c r="G53" s="496"/>
      <c r="H53" s="496"/>
      <c r="I53" s="496"/>
      <c r="J53" s="496"/>
      <c r="K53" s="496"/>
    </row>
    <row r="54" spans="1:11" ht="12.75">
      <c r="A54" s="111" t="s">
        <v>265</v>
      </c>
      <c r="B54" s="482" t="s">
        <v>589</v>
      </c>
      <c r="C54" s="111" t="s">
        <v>162</v>
      </c>
      <c r="D54" s="357">
        <f>SUM(E54:K54)</f>
        <v>0</v>
      </c>
      <c r="E54" s="9"/>
      <c r="F54" s="9"/>
      <c r="G54" s="9"/>
      <c r="H54" s="9"/>
      <c r="I54" s="9"/>
      <c r="J54" s="9"/>
      <c r="K54" s="9"/>
    </row>
    <row r="55" spans="1:11" ht="12.75">
      <c r="A55" s="111" t="s">
        <v>555</v>
      </c>
      <c r="B55" s="482" t="s">
        <v>590</v>
      </c>
      <c r="C55" s="111" t="s">
        <v>46</v>
      </c>
      <c r="D55" s="123"/>
      <c r="E55" s="9"/>
      <c r="F55" s="9"/>
      <c r="G55" s="9"/>
      <c r="H55" s="9"/>
      <c r="I55" s="9"/>
      <c r="J55" s="9"/>
      <c r="K55" s="9"/>
    </row>
    <row r="56" spans="1:11" ht="12.75">
      <c r="A56" s="111" t="s">
        <v>603</v>
      </c>
      <c r="B56" s="482" t="s">
        <v>591</v>
      </c>
      <c r="C56" s="111" t="s">
        <v>46</v>
      </c>
      <c r="D56" s="123"/>
      <c r="E56" s="9"/>
      <c r="F56" s="9"/>
      <c r="G56" s="9"/>
      <c r="H56" s="9"/>
      <c r="I56" s="9"/>
      <c r="J56" s="9"/>
      <c r="K56" s="9"/>
    </row>
    <row r="57" spans="1:11" ht="12.75">
      <c r="A57" s="111" t="s">
        <v>556</v>
      </c>
      <c r="B57" s="482" t="s">
        <v>163</v>
      </c>
      <c r="C57" s="111" t="s">
        <v>164</v>
      </c>
      <c r="D57" s="357">
        <f>SUM(E57:K57)</f>
        <v>0</v>
      </c>
      <c r="E57" s="422">
        <f aca="true" t="shared" si="3" ref="E57:J57">ROUND(E54*(E55-E56)/3600,3)</f>
        <v>0</v>
      </c>
      <c r="F57" s="422">
        <f t="shared" si="3"/>
        <v>0</v>
      </c>
      <c r="G57" s="422">
        <f t="shared" si="3"/>
        <v>0</v>
      </c>
      <c r="H57" s="422">
        <f t="shared" si="3"/>
        <v>0</v>
      </c>
      <c r="I57" s="422">
        <f t="shared" si="3"/>
        <v>0</v>
      </c>
      <c r="J57" s="422">
        <f t="shared" si="3"/>
        <v>0</v>
      </c>
      <c r="K57" s="422">
        <f>ROUND(K54*(K55-K56)/3600,3)</f>
        <v>0</v>
      </c>
    </row>
    <row r="58" spans="1:11" ht="12.75">
      <c r="A58" s="111" t="s">
        <v>557</v>
      </c>
      <c r="B58" s="483" t="s">
        <v>317</v>
      </c>
      <c r="C58" s="111" t="s">
        <v>241</v>
      </c>
      <c r="D58" s="357">
        <f>SUM(E58:K58)</f>
        <v>0</v>
      </c>
      <c r="E58" s="66"/>
      <c r="F58" s="66"/>
      <c r="G58" s="66"/>
      <c r="H58" s="66"/>
      <c r="I58" s="66"/>
      <c r="J58" s="66"/>
      <c r="K58" s="66"/>
    </row>
    <row r="59" spans="1:11" ht="12.75">
      <c r="A59" s="111" t="s">
        <v>558</v>
      </c>
      <c r="B59" s="159" t="s">
        <v>382</v>
      </c>
      <c r="C59" s="111" t="s">
        <v>7</v>
      </c>
      <c r="D59" s="161">
        <f>IF(D58=0,0,SUMPRODUCT(E59:K59,E58:K58)/D58)</f>
        <v>0</v>
      </c>
      <c r="E59" s="67"/>
      <c r="F59" s="67"/>
      <c r="G59" s="67"/>
      <c r="H59" s="67"/>
      <c r="I59" s="67"/>
      <c r="J59" s="67"/>
      <c r="K59" s="67"/>
    </row>
    <row r="60" spans="1:11" ht="12.75">
      <c r="A60" s="111">
        <v>4</v>
      </c>
      <c r="B60" s="495" t="s">
        <v>592</v>
      </c>
      <c r="C60" s="111"/>
      <c r="D60" s="123"/>
      <c r="E60" s="111" t="s">
        <v>593</v>
      </c>
      <c r="F60" s="111" t="s">
        <v>594</v>
      </c>
      <c r="G60" s="111" t="s">
        <v>595</v>
      </c>
      <c r="H60" s="111" t="s">
        <v>596</v>
      </c>
      <c r="I60" s="111" t="s">
        <v>597</v>
      </c>
      <c r="J60" s="111" t="s">
        <v>598</v>
      </c>
      <c r="K60" s="111" t="s">
        <v>602</v>
      </c>
    </row>
    <row r="61" spans="1:11" ht="12.75">
      <c r="A61" s="111" t="s">
        <v>252</v>
      </c>
      <c r="B61" s="482" t="s">
        <v>588</v>
      </c>
      <c r="C61" s="115"/>
      <c r="D61" s="123"/>
      <c r="E61" s="497"/>
      <c r="F61" s="498"/>
      <c r="G61" s="498"/>
      <c r="H61" s="498"/>
      <c r="I61" s="498"/>
      <c r="J61" s="498"/>
      <c r="K61" s="498"/>
    </row>
    <row r="62" spans="1:12" ht="12.75">
      <c r="A62" s="111" t="s">
        <v>253</v>
      </c>
      <c r="B62" s="493" t="s">
        <v>454</v>
      </c>
      <c r="C62" s="481" t="s">
        <v>242</v>
      </c>
      <c r="D62" s="485">
        <f>SUM(E62:G62)</f>
        <v>0</v>
      </c>
      <c r="E62" s="486"/>
      <c r="F62" s="486"/>
      <c r="G62" s="486"/>
      <c r="H62" s="486"/>
      <c r="I62" s="486"/>
      <c r="J62" s="486"/>
      <c r="K62" s="486"/>
      <c r="L62" s="68"/>
    </row>
    <row r="63" spans="1:12" ht="12.75">
      <c r="A63" s="111" t="s">
        <v>560</v>
      </c>
      <c r="B63" s="159" t="s">
        <v>456</v>
      </c>
      <c r="C63" s="481" t="s">
        <v>241</v>
      </c>
      <c r="D63" s="485">
        <f>SUM(E63:G63)</f>
        <v>0</v>
      </c>
      <c r="E63" s="489"/>
      <c r="F63" s="489"/>
      <c r="G63" s="489"/>
      <c r="H63" s="489"/>
      <c r="I63" s="489"/>
      <c r="J63" s="489"/>
      <c r="K63" s="489"/>
      <c r="L63" s="68"/>
    </row>
    <row r="64" spans="1:12" ht="12.75">
      <c r="A64" s="111" t="s">
        <v>561</v>
      </c>
      <c r="B64" s="159" t="s">
        <v>457</v>
      </c>
      <c r="C64" s="481" t="s">
        <v>241</v>
      </c>
      <c r="D64" s="485">
        <f>SUM(E64:G64)</f>
        <v>0</v>
      </c>
      <c r="E64" s="489"/>
      <c r="F64" s="489"/>
      <c r="G64" s="489"/>
      <c r="H64" s="489"/>
      <c r="I64" s="489"/>
      <c r="J64" s="489"/>
      <c r="K64" s="489"/>
      <c r="L64" s="68"/>
    </row>
    <row r="65" spans="1:12" ht="12.75">
      <c r="A65" s="111" t="s">
        <v>562</v>
      </c>
      <c r="B65" s="491" t="s">
        <v>459</v>
      </c>
      <c r="C65" s="111" t="s">
        <v>162</v>
      </c>
      <c r="D65" s="485">
        <f>SUM(E65:G65)</f>
        <v>0</v>
      </c>
      <c r="E65" s="489"/>
      <c r="F65" s="489"/>
      <c r="G65" s="489"/>
      <c r="H65" s="489"/>
      <c r="I65" s="489"/>
      <c r="J65" s="489"/>
      <c r="K65" s="489"/>
      <c r="L65" s="68"/>
    </row>
    <row r="66" spans="1:12" ht="12.75">
      <c r="A66" s="111" t="s">
        <v>563</v>
      </c>
      <c r="B66" s="491" t="s">
        <v>458</v>
      </c>
      <c r="C66" s="111" t="s">
        <v>162</v>
      </c>
      <c r="D66" s="485">
        <f>SUM(E66:G66)</f>
        <v>0</v>
      </c>
      <c r="E66" s="489"/>
      <c r="F66" s="489"/>
      <c r="G66" s="489"/>
      <c r="H66" s="489"/>
      <c r="I66" s="489"/>
      <c r="J66" s="489"/>
      <c r="K66" s="489"/>
      <c r="L66" s="68"/>
    </row>
    <row r="67" spans="1:11" ht="14.25">
      <c r="A67" s="111" t="s">
        <v>564</v>
      </c>
      <c r="B67" s="482" t="s">
        <v>670</v>
      </c>
      <c r="C67" s="111" t="s">
        <v>599</v>
      </c>
      <c r="D67" s="123">
        <f>IF(D62=0,0,SUMPRODUCT(E67:K67,E62:K62)/D62)</f>
        <v>0</v>
      </c>
      <c r="E67" s="9"/>
      <c r="F67" s="9"/>
      <c r="G67" s="9"/>
      <c r="H67" s="9"/>
      <c r="I67" s="9"/>
      <c r="J67" s="9"/>
      <c r="K67" s="9"/>
    </row>
    <row r="68" spans="1:12" ht="12.75">
      <c r="A68" s="111">
        <v>5</v>
      </c>
      <c r="B68" s="159" t="s">
        <v>392</v>
      </c>
      <c r="C68" s="111" t="s">
        <v>7</v>
      </c>
      <c r="D68" s="162">
        <f>IF(D59=0,0,IF(D58=0,0,SUM(D62:D64)/(D58/D59)))</f>
        <v>0</v>
      </c>
      <c r="E68" s="162">
        <f aca="true" t="shared" si="4" ref="E68:K68">IF(E59=0,0,IF(E58=0,0,SUM(E62:E64)/(E58/E59)))</f>
        <v>0</v>
      </c>
      <c r="F68" s="162">
        <f t="shared" si="4"/>
        <v>0</v>
      </c>
      <c r="G68" s="162">
        <f t="shared" si="4"/>
        <v>0</v>
      </c>
      <c r="H68" s="162">
        <f t="shared" si="4"/>
        <v>0</v>
      </c>
      <c r="I68" s="162">
        <f t="shared" si="4"/>
        <v>0</v>
      </c>
      <c r="J68" s="162">
        <f t="shared" si="4"/>
        <v>0</v>
      </c>
      <c r="K68" s="162">
        <f t="shared" si="4"/>
        <v>0</v>
      </c>
      <c r="L68" s="68"/>
    </row>
    <row r="69" ht="12.75"/>
    <row r="70" spans="2:11" ht="12.75">
      <c r="B70" s="499"/>
      <c r="K70" s="500"/>
    </row>
    <row r="71" spans="2:11" ht="12.75">
      <c r="B71" s="499"/>
      <c r="F71" s="501"/>
      <c r="G71" s="502"/>
      <c r="H71" s="503"/>
      <c r="I71" s="504"/>
      <c r="J71" s="505"/>
      <c r="K71" s="504"/>
    </row>
    <row r="72" spans="2:11" ht="12.75">
      <c r="B72" s="499"/>
      <c r="K72" s="511"/>
    </row>
    <row r="73" spans="2:11" ht="12.75">
      <c r="B73" s="499"/>
      <c r="F73" s="501"/>
      <c r="G73" s="372"/>
      <c r="J73" s="505"/>
      <c r="K73" s="500"/>
    </row>
    <row r="74" spans="2:11" ht="12.75">
      <c r="B74" s="506"/>
      <c r="K74" s="509"/>
    </row>
    <row r="75" spans="2:11" ht="12.75">
      <c r="B75" s="506"/>
      <c r="K75" s="509"/>
    </row>
    <row r="76" spans="2:11" ht="12.75">
      <c r="B76" s="506"/>
      <c r="K76" s="509"/>
    </row>
    <row r="77" ht="12.75"/>
    <row r="78" spans="2:10" ht="12.75">
      <c r="B78" s="137" t="str">
        <f>'[2]Разходи-Произв.'!$A$79</f>
        <v>Гл. счетоводител:</v>
      </c>
      <c r="G78" s="507" t="str">
        <f>'[2]Разходи-Произв.'!$E$79</f>
        <v>Изп. директор:</v>
      </c>
      <c r="I78" s="206"/>
      <c r="J78" s="206"/>
    </row>
    <row r="79" spans="3:10" ht="12.75">
      <c r="C79" s="508" t="str">
        <f>Разходи!$B$93</f>
        <v>/ Xxx                  /</v>
      </c>
      <c r="G79" s="206"/>
      <c r="H79" s="206" t="str">
        <f>Разходи!$F$93</f>
        <v>/ Xxxxxx                  /</v>
      </c>
      <c r="I79" s="206"/>
      <c r="J79" s="206"/>
    </row>
    <row r="80" ht="12.75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</sheetData>
  <sheetProtection/>
  <mergeCells count="11">
    <mergeCell ref="K28:K33"/>
    <mergeCell ref="D4:K4"/>
    <mergeCell ref="B12:K12"/>
    <mergeCell ref="B1:I1"/>
    <mergeCell ref="B2:I2"/>
    <mergeCell ref="B49:K49"/>
    <mergeCell ref="D51:K51"/>
    <mergeCell ref="I14:K14"/>
    <mergeCell ref="D14:H14"/>
    <mergeCell ref="I28:I33"/>
    <mergeCell ref="J28:J33"/>
  </mergeCells>
  <printOptions horizontalCentered="1"/>
  <pageMargins left="0.9055118110236221" right="0.11811023622047245" top="0.5511811023622047" bottom="0.15748031496062992" header="0.11811023622047245" footer="0.11811023622047245"/>
  <pageSetup blackAndWhite="1" horizontalDpi="300" verticalDpi="300" orientation="portrait" paperSize="9" scale="80" r:id="rId1"/>
  <ignoredErrors>
    <ignoredError sqref="D10 F19:G19 D54 D57:D58" unlockedFormula="1"/>
    <ignoredError sqref="E10:K10 D8:D9 E19 J23 E23" formulaRange="1" unlockedFormula="1"/>
    <ignoredError sqref="I19:I22 I17 I23 K23 D23" formula="1"/>
    <ignoredError sqref="J19 E68 E47 F47:G47" formulaRange="1"/>
    <ignoredError sqref="J23 E23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PageLayoutView="0" workbookViewId="0" topLeftCell="A34">
      <selection activeCell="A1" sqref="A1"/>
    </sheetView>
  </sheetViews>
  <sheetFormatPr defaultColWidth="0" defaultRowHeight="12.75" customHeight="1" zeroHeight="1"/>
  <cols>
    <col min="1" max="1" width="3.57421875" style="107" customWidth="1"/>
    <col min="2" max="2" width="28.57421875" style="107" customWidth="1"/>
    <col min="3" max="3" width="7.8515625" style="107" customWidth="1"/>
    <col min="4" max="10" width="9.57421875" style="107" customWidth="1"/>
    <col min="11" max="12" width="8.57421875" style="107" customWidth="1"/>
    <col min="13" max="13" width="8.8515625" style="107" customWidth="1"/>
    <col min="14" max="16384" width="8.8515625" style="107" hidden="1" customWidth="1"/>
  </cols>
  <sheetData>
    <row r="1" spans="1:12" ht="12.75" customHeight="1">
      <c r="A1" s="106">
        <v>2</v>
      </c>
      <c r="B1" s="814" t="s">
        <v>699</v>
      </c>
      <c r="C1" s="814"/>
      <c r="D1" s="814"/>
      <c r="E1" s="814"/>
      <c r="F1" s="814"/>
      <c r="G1" s="814"/>
      <c r="H1" s="814"/>
      <c r="I1" s="814"/>
      <c r="J1" s="814"/>
      <c r="K1" s="108"/>
      <c r="L1" s="137" t="s">
        <v>700</v>
      </c>
    </row>
    <row r="2" spans="2:12" ht="12.75" customHeight="1">
      <c r="B2" s="814" t="str">
        <f>'ТИП-ПРОИЗ'!B3</f>
        <v>"Топлофикация- ....................." ЕАД</v>
      </c>
      <c r="C2" s="814"/>
      <c r="D2" s="814"/>
      <c r="E2" s="814"/>
      <c r="F2" s="814"/>
      <c r="G2" s="814"/>
      <c r="H2" s="814"/>
      <c r="I2" s="814"/>
      <c r="J2" s="814"/>
      <c r="K2" s="108"/>
      <c r="L2" s="108"/>
    </row>
    <row r="3" spans="2:12" ht="12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2:12" ht="12.75" customHeight="1">
      <c r="B4" s="748" t="s">
        <v>569</v>
      </c>
      <c r="C4" s="748"/>
      <c r="D4" s="748"/>
      <c r="E4" s="748"/>
      <c r="F4" s="748"/>
      <c r="G4" s="748"/>
      <c r="H4" s="748"/>
      <c r="I4" s="748"/>
      <c r="J4" s="748"/>
      <c r="K4" s="108"/>
      <c r="L4" s="108"/>
    </row>
    <row r="5" ht="12.75"/>
    <row r="6" spans="1:12" ht="12.75">
      <c r="A6" s="815">
        <f>'ТИП-ПРОИЗ'!$B$5</f>
        <v>7.2019</v>
      </c>
      <c r="B6" s="815"/>
      <c r="C6" s="815"/>
      <c r="D6" s="816" t="s">
        <v>386</v>
      </c>
      <c r="E6" s="816"/>
      <c r="F6" s="816"/>
      <c r="G6" s="816"/>
      <c r="H6" s="816"/>
      <c r="I6" s="816"/>
      <c r="J6" s="816"/>
      <c r="K6" s="816"/>
      <c r="L6" s="816"/>
    </row>
    <row r="7" spans="1:12" ht="12.75">
      <c r="A7" s="146">
        <v>1</v>
      </c>
      <c r="B7" s="147" t="s">
        <v>258</v>
      </c>
      <c r="C7" s="148" t="s">
        <v>384</v>
      </c>
      <c r="D7" s="106" t="s">
        <v>152</v>
      </c>
      <c r="E7" s="146" t="s">
        <v>165</v>
      </c>
      <c r="F7" s="146" t="s">
        <v>166</v>
      </c>
      <c r="G7" s="146" t="s">
        <v>167</v>
      </c>
      <c r="H7" s="146" t="s">
        <v>209</v>
      </c>
      <c r="I7" s="146" t="s">
        <v>210</v>
      </c>
      <c r="J7" s="146" t="s">
        <v>211</v>
      </c>
      <c r="K7" s="146" t="s">
        <v>385</v>
      </c>
      <c r="L7" s="146" t="s">
        <v>579</v>
      </c>
    </row>
    <row r="8" spans="1:12" ht="12.75">
      <c r="A8" s="149" t="s">
        <v>259</v>
      </c>
      <c r="B8" s="150">
        <f>'ТИП-ПРОИЗ'!E6</f>
        <v>2018.0000000000043</v>
      </c>
      <c r="C8" s="149" t="s">
        <v>383</v>
      </c>
      <c r="D8" s="151">
        <f>SUM(E8:K8)</f>
        <v>0</v>
      </c>
      <c r="E8" s="55"/>
      <c r="F8" s="55"/>
      <c r="G8" s="55"/>
      <c r="H8" s="55"/>
      <c r="I8" s="55"/>
      <c r="J8" s="55"/>
      <c r="K8" s="55"/>
      <c r="L8" s="55"/>
    </row>
    <row r="9" spans="1:12" ht="12.75">
      <c r="A9" s="149" t="s">
        <v>260</v>
      </c>
      <c r="B9" s="152" t="s">
        <v>317</v>
      </c>
      <c r="C9" s="149" t="s">
        <v>241</v>
      </c>
      <c r="D9" s="151">
        <f>SUM(E9:K9)</f>
        <v>0</v>
      </c>
      <c r="E9" s="44"/>
      <c r="F9" s="44"/>
      <c r="G9" s="44"/>
      <c r="H9" s="44"/>
      <c r="I9" s="44"/>
      <c r="J9" s="44"/>
      <c r="K9" s="44"/>
      <c r="L9" s="44"/>
    </row>
    <row r="10" spans="1:12" ht="12.75">
      <c r="A10" s="149" t="s">
        <v>261</v>
      </c>
      <c r="B10" s="153" t="s">
        <v>382</v>
      </c>
      <c r="C10" s="149" t="s">
        <v>7</v>
      </c>
      <c r="D10" s="154">
        <f>IF(D9=0,0,SUMPRODUCT(E9:K9,E10:K10)/D9)</f>
        <v>0</v>
      </c>
      <c r="E10" s="45"/>
      <c r="F10" s="45"/>
      <c r="G10" s="45"/>
      <c r="H10" s="45"/>
      <c r="I10" s="45"/>
      <c r="J10" s="45"/>
      <c r="K10" s="45"/>
      <c r="L10" s="45"/>
    </row>
    <row r="11" ht="12.75"/>
    <row r="12" spans="1:12" ht="12.75">
      <c r="A12" s="817">
        <f>'ТИП-ПРОИЗ'!E6</f>
        <v>2018.0000000000043</v>
      </c>
      <c r="B12" s="817"/>
      <c r="C12" s="817"/>
      <c r="D12" s="816" t="s">
        <v>689</v>
      </c>
      <c r="E12" s="816"/>
      <c r="F12" s="816"/>
      <c r="G12" s="816"/>
      <c r="H12" s="816"/>
      <c r="I12" s="816"/>
      <c r="J12" s="816"/>
      <c r="K12" s="816"/>
      <c r="L12" s="816"/>
    </row>
    <row r="13" spans="1:12" ht="12.75">
      <c r="A13" s="146">
        <v>1</v>
      </c>
      <c r="B13" s="147" t="s">
        <v>258</v>
      </c>
      <c r="C13" s="148" t="s">
        <v>384</v>
      </c>
      <c r="D13" s="106" t="s">
        <v>152</v>
      </c>
      <c r="E13" s="146" t="s">
        <v>165</v>
      </c>
      <c r="F13" s="146" t="s">
        <v>166</v>
      </c>
      <c r="G13" s="146" t="s">
        <v>167</v>
      </c>
      <c r="H13" s="146" t="s">
        <v>209</v>
      </c>
      <c r="I13" s="146" t="s">
        <v>210</v>
      </c>
      <c r="J13" s="146" t="s">
        <v>211</v>
      </c>
      <c r="K13" s="146" t="s">
        <v>385</v>
      </c>
      <c r="L13" s="146" t="s">
        <v>579</v>
      </c>
    </row>
    <row r="14" spans="1:12" ht="12.75">
      <c r="A14" s="149" t="s">
        <v>259</v>
      </c>
      <c r="B14" s="152" t="s">
        <v>690</v>
      </c>
      <c r="C14" s="149" t="s">
        <v>691</v>
      </c>
      <c r="D14" s="517"/>
      <c r="E14" s="43"/>
      <c r="F14" s="43"/>
      <c r="G14" s="43"/>
      <c r="H14" s="43"/>
      <c r="I14" s="43"/>
      <c r="J14" s="43"/>
      <c r="K14" s="43"/>
      <c r="L14" s="43"/>
    </row>
    <row r="15" spans="1:12" ht="12.75">
      <c r="A15" s="149" t="s">
        <v>260</v>
      </c>
      <c r="B15" s="152" t="s">
        <v>692</v>
      </c>
      <c r="C15" s="149" t="s">
        <v>70</v>
      </c>
      <c r="D15" s="151">
        <f>SUM(E15:K15)</f>
        <v>0</v>
      </c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149" t="s">
        <v>261</v>
      </c>
      <c r="B16" s="153" t="s">
        <v>244</v>
      </c>
      <c r="C16" s="149" t="s">
        <v>7</v>
      </c>
      <c r="D16" s="154">
        <f>IF(D15=0,0,SUMPRODUCT(E15:K15,E16:K16)/D15)</f>
        <v>0</v>
      </c>
      <c r="E16" s="45"/>
      <c r="F16" s="45"/>
      <c r="G16" s="45"/>
      <c r="H16" s="45"/>
      <c r="I16" s="45"/>
      <c r="J16" s="45"/>
      <c r="K16" s="45"/>
      <c r="L16" s="45"/>
    </row>
    <row r="17" ht="12.75"/>
    <row r="18" spans="2:12" ht="12.75" customHeight="1">
      <c r="B18" s="814" t="s">
        <v>570</v>
      </c>
      <c r="C18" s="814"/>
      <c r="D18" s="814"/>
      <c r="E18" s="814"/>
      <c r="F18" s="814"/>
      <c r="G18" s="814"/>
      <c r="H18" s="814"/>
      <c r="I18" s="814"/>
      <c r="J18" s="814"/>
      <c r="K18" s="519"/>
      <c r="L18" s="519"/>
    </row>
    <row r="19" ht="12.75"/>
    <row r="20" spans="1:12" ht="12.75">
      <c r="A20" s="815">
        <f>'ТИП-ПРОИЗ'!$B$5</f>
        <v>7.2019</v>
      </c>
      <c r="B20" s="815"/>
      <c r="C20" s="815"/>
      <c r="D20" s="816" t="s">
        <v>565</v>
      </c>
      <c r="E20" s="816"/>
      <c r="F20" s="816"/>
      <c r="G20" s="816"/>
      <c r="H20" s="816"/>
      <c r="I20" s="816"/>
      <c r="J20" s="816"/>
      <c r="K20" s="816"/>
      <c r="L20" s="816"/>
    </row>
    <row r="21" spans="1:12" ht="12.75">
      <c r="A21" s="146">
        <v>2</v>
      </c>
      <c r="B21" s="147" t="s">
        <v>578</v>
      </c>
      <c r="C21" s="148" t="s">
        <v>384</v>
      </c>
      <c r="D21" s="106" t="s">
        <v>152</v>
      </c>
      <c r="E21" s="146" t="s">
        <v>571</v>
      </c>
      <c r="F21" s="146" t="s">
        <v>572</v>
      </c>
      <c r="G21" s="146" t="s">
        <v>573</v>
      </c>
      <c r="H21" s="146" t="s">
        <v>574</v>
      </c>
      <c r="I21" s="146" t="s">
        <v>575</v>
      </c>
      <c r="J21" s="146" t="s">
        <v>576</v>
      </c>
      <c r="K21" s="146" t="s">
        <v>577</v>
      </c>
      <c r="L21" s="146" t="s">
        <v>580</v>
      </c>
    </row>
    <row r="22" spans="1:12" ht="12.75">
      <c r="A22" s="149" t="s">
        <v>275</v>
      </c>
      <c r="B22" s="150">
        <f>B8</f>
        <v>2018.0000000000043</v>
      </c>
      <c r="C22" s="149" t="s">
        <v>383</v>
      </c>
      <c r="D22" s="151">
        <f>SUM(E22:K22)</f>
        <v>0</v>
      </c>
      <c r="E22" s="55"/>
      <c r="F22" s="55"/>
      <c r="G22" s="55"/>
      <c r="H22" s="55"/>
      <c r="I22" s="55"/>
      <c r="J22" s="55"/>
      <c r="K22" s="55"/>
      <c r="L22" s="55"/>
    </row>
    <row r="23" spans="1:12" ht="12.75">
      <c r="A23" s="149" t="s">
        <v>276</v>
      </c>
      <c r="B23" s="155" t="s">
        <v>566</v>
      </c>
      <c r="C23" s="149" t="s">
        <v>162</v>
      </c>
      <c r="D23" s="151">
        <f>SUM(E23:K23)</f>
        <v>0</v>
      </c>
      <c r="E23" s="55"/>
      <c r="F23" s="55"/>
      <c r="G23" s="55"/>
      <c r="H23" s="55"/>
      <c r="I23" s="55"/>
      <c r="J23" s="55"/>
      <c r="K23" s="55"/>
      <c r="L23" s="55"/>
    </row>
    <row r="24" spans="1:12" ht="12.75">
      <c r="A24" s="149" t="s">
        <v>279</v>
      </c>
      <c r="B24" s="155" t="s">
        <v>567</v>
      </c>
      <c r="C24" s="149" t="s">
        <v>568</v>
      </c>
      <c r="D24" s="151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149" t="s">
        <v>277</v>
      </c>
      <c r="B25" s="152" t="s">
        <v>317</v>
      </c>
      <c r="C25" s="149" t="s">
        <v>241</v>
      </c>
      <c r="D25" s="151">
        <f>SUM(E25:K25)</f>
        <v>0</v>
      </c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149" t="s">
        <v>278</v>
      </c>
      <c r="B26" s="153" t="s">
        <v>382</v>
      </c>
      <c r="C26" s="149" t="s">
        <v>7</v>
      </c>
      <c r="D26" s="154">
        <f>IF(D25=0,0,SUMPRODUCT(E25:K25,E26:K26)/D25)</f>
        <v>0</v>
      </c>
      <c r="E26" s="45"/>
      <c r="F26" s="45"/>
      <c r="G26" s="45"/>
      <c r="H26" s="45"/>
      <c r="I26" s="45"/>
      <c r="J26" s="45"/>
      <c r="K26" s="45"/>
      <c r="L26" s="45"/>
    </row>
    <row r="27" ht="12.75"/>
    <row r="28" spans="1:12" ht="12.75">
      <c r="A28" s="817">
        <f>A12</f>
        <v>2018.0000000000043</v>
      </c>
      <c r="B28" s="817"/>
      <c r="C28" s="817"/>
      <c r="D28" s="816" t="s">
        <v>693</v>
      </c>
      <c r="E28" s="816"/>
      <c r="F28" s="816"/>
      <c r="G28" s="816"/>
      <c r="H28" s="816"/>
      <c r="I28" s="816"/>
      <c r="J28" s="816"/>
      <c r="K28" s="816"/>
      <c r="L28" s="816"/>
    </row>
    <row r="29" spans="1:12" ht="12.75">
      <c r="A29" s="146">
        <v>2</v>
      </c>
      <c r="B29" s="147" t="s">
        <v>578</v>
      </c>
      <c r="C29" s="148" t="s">
        <v>384</v>
      </c>
      <c r="D29" s="106" t="s">
        <v>152</v>
      </c>
      <c r="E29" s="146" t="s">
        <v>571</v>
      </c>
      <c r="F29" s="146" t="s">
        <v>572</v>
      </c>
      <c r="G29" s="146" t="s">
        <v>573</v>
      </c>
      <c r="H29" s="146" t="s">
        <v>574</v>
      </c>
      <c r="I29" s="146" t="s">
        <v>575</v>
      </c>
      <c r="J29" s="146" t="s">
        <v>576</v>
      </c>
      <c r="K29" s="146" t="s">
        <v>577</v>
      </c>
      <c r="L29" s="146" t="s">
        <v>580</v>
      </c>
    </row>
    <row r="30" spans="1:12" ht="12.75">
      <c r="A30" s="149" t="s">
        <v>275</v>
      </c>
      <c r="B30" s="152" t="s">
        <v>690</v>
      </c>
      <c r="C30" s="149" t="s">
        <v>691</v>
      </c>
      <c r="D30" s="517"/>
      <c r="E30" s="43"/>
      <c r="F30" s="43"/>
      <c r="G30" s="43"/>
      <c r="H30" s="43"/>
      <c r="I30" s="43"/>
      <c r="J30" s="43"/>
      <c r="K30" s="43"/>
      <c r="L30" s="43"/>
    </row>
    <row r="31" spans="1:12" ht="12.75">
      <c r="A31" s="149" t="s">
        <v>276</v>
      </c>
      <c r="B31" s="155" t="s">
        <v>696</v>
      </c>
      <c r="C31" s="149" t="s">
        <v>23</v>
      </c>
      <c r="D31" s="151">
        <f>SUM(E31:K31)</f>
        <v>0</v>
      </c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149" t="s">
        <v>279</v>
      </c>
      <c r="B32" s="155" t="s">
        <v>697</v>
      </c>
      <c r="C32" s="149" t="s">
        <v>162</v>
      </c>
      <c r="D32" s="151">
        <f>IF(D30=0,0,D31/D30)</f>
        <v>0</v>
      </c>
      <c r="E32" s="151">
        <f aca="true" t="shared" si="0" ref="E32:L32">IF(E30=0,0,E31/E30)</f>
        <v>0</v>
      </c>
      <c r="F32" s="151">
        <f t="shared" si="0"/>
        <v>0</v>
      </c>
      <c r="G32" s="151">
        <f t="shared" si="0"/>
        <v>0</v>
      </c>
      <c r="H32" s="151">
        <f t="shared" si="0"/>
        <v>0</v>
      </c>
      <c r="I32" s="151">
        <f t="shared" si="0"/>
        <v>0</v>
      </c>
      <c r="J32" s="151">
        <f t="shared" si="0"/>
        <v>0</v>
      </c>
      <c r="K32" s="151">
        <f t="shared" si="0"/>
        <v>0</v>
      </c>
      <c r="L32" s="151">
        <f t="shared" si="0"/>
        <v>0</v>
      </c>
    </row>
    <row r="33" spans="1:12" ht="12.75">
      <c r="A33" s="149" t="s">
        <v>277</v>
      </c>
      <c r="B33" s="155" t="s">
        <v>695</v>
      </c>
      <c r="C33" s="149" t="s">
        <v>568</v>
      </c>
      <c r="D33" s="151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149" t="s">
        <v>278</v>
      </c>
      <c r="B34" s="152" t="s">
        <v>692</v>
      </c>
      <c r="C34" s="149" t="s">
        <v>70</v>
      </c>
      <c r="D34" s="151">
        <f>SUM(E34:K34)</f>
        <v>0</v>
      </c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149" t="s">
        <v>694</v>
      </c>
      <c r="B35" s="153" t="s">
        <v>244</v>
      </c>
      <c r="C35" s="149" t="s">
        <v>7</v>
      </c>
      <c r="D35" s="154">
        <f>IF(D34=0,0,SUMPRODUCT(E34:K34,E35:K35)/D34)</f>
        <v>0</v>
      </c>
      <c r="E35" s="45"/>
      <c r="F35" s="45"/>
      <c r="G35" s="45"/>
      <c r="H35" s="45"/>
      <c r="I35" s="45"/>
      <c r="J35" s="45"/>
      <c r="K35" s="45"/>
      <c r="L35" s="45"/>
    </row>
    <row r="36" ht="12.75"/>
    <row r="37" spans="2:6" ht="15.75">
      <c r="B37" s="153" t="s">
        <v>698</v>
      </c>
      <c r="C37" s="149" t="s">
        <v>7</v>
      </c>
      <c r="D37" s="154">
        <f>IF(SUM(D15,D34)=0,0,SUM(D15*D16,D34*D35)/SUM(D15,D34))</f>
        <v>0</v>
      </c>
      <c r="E37" s="518">
        <f>SUM(D37,-F37)</f>
        <v>0</v>
      </c>
      <c r="F37" s="510">
        <f>'ТИП-ПРОИЗ'!E57</f>
        <v>0</v>
      </c>
    </row>
    <row r="38" ht="12.75"/>
    <row r="39" ht="12.75"/>
    <row r="40" spans="2:10" ht="12.75">
      <c r="B40" s="137" t="str">
        <f>'[2]Разходи-Произв.'!$A$79</f>
        <v>Гл. счетоводител:</v>
      </c>
      <c r="G40" s="138" t="str">
        <f>'[2]Разходи-Произв.'!$E$79</f>
        <v>Изп. директор:</v>
      </c>
      <c r="I40" s="139"/>
      <c r="J40" s="139"/>
    </row>
    <row r="41" spans="1:10" ht="12.75">
      <c r="A41" s="136"/>
      <c r="C41" s="140" t="str">
        <f>Разходи!$B$93</f>
        <v>/ Xxx                  /</v>
      </c>
      <c r="G41" s="139"/>
      <c r="H41" s="141" t="str">
        <f>Разходи!$F$93</f>
        <v>/ Xxxxxx                  /</v>
      </c>
      <c r="I41" s="141"/>
      <c r="J41" s="141"/>
    </row>
    <row r="42" ht="12.75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</sheetData>
  <sheetProtection/>
  <mergeCells count="12">
    <mergeCell ref="A28:C28"/>
    <mergeCell ref="D28:L28"/>
    <mergeCell ref="B2:J2"/>
    <mergeCell ref="B1:J1"/>
    <mergeCell ref="B4:J4"/>
    <mergeCell ref="B18:J18"/>
    <mergeCell ref="A20:C20"/>
    <mergeCell ref="D20:L20"/>
    <mergeCell ref="D6:L6"/>
    <mergeCell ref="A6:C6"/>
    <mergeCell ref="A12:C12"/>
    <mergeCell ref="D12:L12"/>
  </mergeCells>
  <printOptions horizontalCentered="1"/>
  <pageMargins left="0.5118110236220472" right="0.5118110236220472" top="0.9448818897637796" bottom="0.35433070866141736" header="0.11811023622047245" footer="0.11811023622047245"/>
  <pageSetup blackAndWhite="1" horizontalDpi="600" verticalDpi="600" orientation="landscape" r:id="rId1"/>
  <ignoredErrors>
    <ignoredError sqref="D8:D9 D25 D22:D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dk-vlozanov</dc:creator>
  <cp:keywords/>
  <dc:description/>
  <cp:lastModifiedBy>Ivailo Alexandrov</cp:lastModifiedBy>
  <cp:lastPrinted>2012-02-27T14:48:27Z</cp:lastPrinted>
  <dcterms:created xsi:type="dcterms:W3CDTF">2002-07-02T13:08:08Z</dcterms:created>
  <dcterms:modified xsi:type="dcterms:W3CDTF">2018-05-18T07:58:38Z</dcterms:modified>
  <cp:category/>
  <cp:version/>
  <cp:contentType/>
  <cp:contentStatus/>
</cp:coreProperties>
</file>